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31874D20-831C-4857-8DAE-64CCB0CBE8B2}" xr6:coauthVersionLast="47" xr6:coauthVersionMax="47" xr10:uidLastSave="{00000000-0000-0000-0000-000000000000}"/>
  <bookViews>
    <workbookView xWindow="-120" yWindow="-120" windowWidth="29040" windowHeight="15840" tabRatio="857" xr2:uid="{00000000-000D-0000-FFFF-FFFF00000000}"/>
  </bookViews>
  <sheets>
    <sheet name="Inventory" sheetId="14" r:id="rId1"/>
    <sheet name="Log" sheetId="15" r:id="rId2"/>
    <sheet name="VAQ (5 EA-18G CVW)" sheetId="44" r:id="rId3"/>
    <sheet name="VAQ (7 EA-18G CVW)" sheetId="49" r:id="rId4"/>
    <sheet name="VAQ (7 EA-18G) FDNF" sheetId="51" r:id="rId5"/>
    <sheet name="VAQ (5 EA-18G) EXPED" sheetId="48" r:id="rId6"/>
    <sheet name="VAQ (6 EA-18G) EXPED" sheetId="50" r:id="rId7"/>
    <sheet name="VAQ (5 EA-18G) Reserve EXPED" sheetId="42" r:id="rId8"/>
    <sheet name="VAQ (5 EA-18G) Reserve CVW" sheetId="57" r:id="rId9"/>
    <sheet name="VAQ (EA-18G FRS)" sheetId="55" r:id="rId10"/>
    <sheet name="VAQ EA-18G PDAA" sheetId="59" r:id="rId11"/>
    <sheet name="VAQ EA-18G Reduced MET CVW FDNF" sheetId="52" r:id="rId12"/>
    <sheet name="VAQ EA-18G Reduced MET EXPED" sheetId="53" r:id="rId13"/>
    <sheet name="VAQ EA-18G Reduced MET Reserve" sheetId="54" r:id="rId14"/>
    <sheet name="EA-18G Mission System Summary" sheetId="58" r:id="rId15"/>
    <sheet name="EA-18G Mission Systems" sheetId="43" r:id="rId16"/>
    <sheet name="Definitions" sheetId="56" r:id="rId17"/>
    <sheet name="Master" sheetId="29" state="hidden" r:id="rId18"/>
    <sheet name="Template for export" sheetId="34" state="hidden" r:id="rId19"/>
  </sheets>
  <externalReferences>
    <externalReference r:id="rId20"/>
  </externalReferences>
  <definedNames>
    <definedName name="NDEPUTIL" localSheetId="18">'[1]HSC EXP 2 AC CSG ESG W FRS STND'!#REF!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14" l="1"/>
  <c r="E17" i="14"/>
  <c r="E18" i="14"/>
  <c r="E19" i="14"/>
  <c r="D10" i="14"/>
  <c r="E10" i="14" s="1"/>
  <c r="C10" i="14"/>
  <c r="C19" i="59"/>
  <c r="C20" i="59" s="1"/>
  <c r="A10" i="14"/>
  <c r="B19" i="59"/>
  <c r="B21" i="59" s="1"/>
  <c r="B18" i="55"/>
  <c r="C21" i="59" l="1"/>
  <c r="B20" i="59"/>
  <c r="C2" i="58"/>
  <c r="D2" i="58"/>
  <c r="B171" i="48" s="1"/>
  <c r="E2" i="58"/>
  <c r="F2" i="58"/>
  <c r="G2" i="58"/>
  <c r="B2" i="58"/>
  <c r="B180" i="50"/>
  <c r="B178" i="57"/>
  <c r="B177" i="44"/>
  <c r="B176" i="44"/>
  <c r="B175" i="49"/>
  <c r="B174" i="51"/>
  <c r="B173" i="48"/>
  <c r="B172" i="50"/>
  <c r="D14" i="14"/>
  <c r="E14" i="14" s="1"/>
  <c r="A14" i="14"/>
  <c r="D15" i="14"/>
  <c r="E15" i="14" s="1"/>
  <c r="G150" i="57"/>
  <c r="F150" i="57"/>
  <c r="E150" i="57"/>
  <c r="D150" i="57"/>
  <c r="C150" i="57"/>
  <c r="G149" i="57"/>
  <c r="F149" i="57"/>
  <c r="E149" i="57"/>
  <c r="D149" i="57"/>
  <c r="C149" i="57"/>
  <c r="G150" i="42"/>
  <c r="F150" i="42"/>
  <c r="E150" i="42"/>
  <c r="D150" i="42"/>
  <c r="C150" i="42"/>
  <c r="G149" i="42"/>
  <c r="F149" i="42"/>
  <c r="E149" i="42"/>
  <c r="D149" i="42"/>
  <c r="C149" i="42"/>
  <c r="G150" i="50"/>
  <c r="F150" i="50"/>
  <c r="E150" i="50"/>
  <c r="D150" i="50"/>
  <c r="C150" i="50"/>
  <c r="G149" i="50"/>
  <c r="F149" i="50"/>
  <c r="E149" i="50"/>
  <c r="D149" i="50"/>
  <c r="C149" i="50"/>
  <c r="G150" i="48"/>
  <c r="F150" i="48"/>
  <c r="E150" i="48"/>
  <c r="D150" i="48"/>
  <c r="C150" i="48"/>
  <c r="G149" i="48"/>
  <c r="F149" i="48"/>
  <c r="E149" i="48"/>
  <c r="D149" i="48"/>
  <c r="C149" i="48"/>
  <c r="C150" i="44"/>
  <c r="D150" i="44"/>
  <c r="E150" i="44"/>
  <c r="F150" i="44"/>
  <c r="G150" i="44"/>
  <c r="C149" i="44"/>
  <c r="D149" i="44"/>
  <c r="E149" i="44"/>
  <c r="F149" i="44"/>
  <c r="G149" i="44"/>
  <c r="G150" i="51"/>
  <c r="F150" i="51"/>
  <c r="E150" i="51"/>
  <c r="D150" i="51"/>
  <c r="C150" i="51"/>
  <c r="C149" i="51"/>
  <c r="C150" i="49"/>
  <c r="D150" i="49"/>
  <c r="E150" i="49"/>
  <c r="F150" i="49"/>
  <c r="G150" i="49"/>
  <c r="C149" i="49"/>
  <c r="D149" i="49"/>
  <c r="E149" i="49"/>
  <c r="F149" i="49"/>
  <c r="G149" i="49"/>
  <c r="A180" i="57"/>
  <c r="A179" i="57"/>
  <c r="A178" i="57"/>
  <c r="A177" i="57"/>
  <c r="A176" i="57"/>
  <c r="A175" i="57"/>
  <c r="A174" i="57"/>
  <c r="A173" i="57"/>
  <c r="A172" i="57"/>
  <c r="A180" i="42"/>
  <c r="A179" i="42"/>
  <c r="A178" i="42"/>
  <c r="A177" i="42"/>
  <c r="A176" i="42"/>
  <c r="A175" i="42"/>
  <c r="A174" i="42"/>
  <c r="A173" i="42"/>
  <c r="A172" i="42"/>
  <c r="A180" i="50"/>
  <c r="A179" i="50"/>
  <c r="A178" i="50"/>
  <c r="A177" i="50"/>
  <c r="A176" i="50"/>
  <c r="A175" i="50"/>
  <c r="A174" i="50"/>
  <c r="A173" i="50"/>
  <c r="A172" i="50"/>
  <c r="A180" i="48"/>
  <c r="A179" i="48"/>
  <c r="A178" i="48"/>
  <c r="A177" i="48"/>
  <c r="A176" i="48"/>
  <c r="A175" i="48"/>
  <c r="A174" i="48"/>
  <c r="A173" i="48"/>
  <c r="A172" i="48"/>
  <c r="A180" i="51"/>
  <c r="A179" i="51"/>
  <c r="A178" i="51"/>
  <c r="A177" i="51"/>
  <c r="A176" i="51"/>
  <c r="A175" i="51"/>
  <c r="A174" i="51"/>
  <c r="A173" i="51"/>
  <c r="A172" i="51"/>
  <c r="A180" i="49"/>
  <c r="A179" i="49"/>
  <c r="A178" i="49"/>
  <c r="A177" i="49"/>
  <c r="A176" i="49"/>
  <c r="A175" i="49"/>
  <c r="A174" i="49"/>
  <c r="A173" i="49"/>
  <c r="A172" i="49"/>
  <c r="A173" i="44"/>
  <c r="A174" i="44"/>
  <c r="A175" i="44"/>
  <c r="A176" i="44"/>
  <c r="A177" i="44"/>
  <c r="A178" i="44"/>
  <c r="A179" i="44"/>
  <c r="A180" i="44"/>
  <c r="A172" i="44"/>
  <c r="G1" i="58"/>
  <c r="B179" i="42" s="1"/>
  <c r="F1" i="58"/>
  <c r="E1" i="58"/>
  <c r="D1" i="58"/>
  <c r="C1" i="58"/>
  <c r="B178" i="42" s="1"/>
  <c r="B1" i="58"/>
  <c r="B180" i="49" s="1"/>
  <c r="B173" i="44" l="1"/>
  <c r="B174" i="57"/>
  <c r="B175" i="42"/>
  <c r="B176" i="50"/>
  <c r="B177" i="48"/>
  <c r="B178" i="51"/>
  <c r="B179" i="49"/>
  <c r="B171" i="44"/>
  <c r="B172" i="44"/>
  <c r="B173" i="57"/>
  <c r="B174" i="42"/>
  <c r="B175" i="50"/>
  <c r="B176" i="48"/>
  <c r="B177" i="51"/>
  <c r="B178" i="49"/>
  <c r="B180" i="44"/>
  <c r="B171" i="42"/>
  <c r="B172" i="57"/>
  <c r="B173" i="42"/>
  <c r="B174" i="50"/>
  <c r="B175" i="48"/>
  <c r="B176" i="51"/>
  <c r="B177" i="49"/>
  <c r="B179" i="44"/>
  <c r="B180" i="57"/>
  <c r="B171" i="57"/>
  <c r="B172" i="42"/>
  <c r="B173" i="50"/>
  <c r="B174" i="48"/>
  <c r="B175" i="51"/>
  <c r="B176" i="49"/>
  <c r="B178" i="44"/>
  <c r="B179" i="57"/>
  <c r="B180" i="42"/>
  <c r="B171" i="50"/>
  <c r="B173" i="51"/>
  <c r="B171" i="49"/>
  <c r="B172" i="48"/>
  <c r="B174" i="49"/>
  <c r="B177" i="57"/>
  <c r="B179" i="50"/>
  <c r="B180" i="48"/>
  <c r="B172" i="51"/>
  <c r="B173" i="49"/>
  <c r="B175" i="44"/>
  <c r="B176" i="57"/>
  <c r="B177" i="42"/>
  <c r="B178" i="50"/>
  <c r="B179" i="48"/>
  <c r="B180" i="51"/>
  <c r="B172" i="49"/>
  <c r="B174" i="44"/>
  <c r="B175" i="57"/>
  <c r="B176" i="42"/>
  <c r="B177" i="50"/>
  <c r="B178" i="48"/>
  <c r="B179" i="51"/>
  <c r="B171" i="51"/>
  <c r="B34" i="57"/>
  <c r="B37" i="57" s="1"/>
  <c r="X34" i="57"/>
  <c r="X37" i="57" s="1"/>
  <c r="B34" i="42"/>
  <c r="B37" i="42" s="1"/>
  <c r="X34" i="42"/>
  <c r="X37" i="42" s="1"/>
  <c r="X46" i="57"/>
  <c r="B46" i="57"/>
  <c r="X45" i="42"/>
  <c r="B45" i="42"/>
  <c r="X45" i="57"/>
  <c r="B45" i="57"/>
  <c r="X42" i="57" l="1"/>
  <c r="B42" i="57"/>
  <c r="X47" i="57"/>
  <c r="B47" i="57"/>
  <c r="X41" i="42"/>
  <c r="B41" i="42"/>
  <c r="X39" i="57"/>
  <c r="B39" i="57"/>
  <c r="X42" i="42"/>
  <c r="B42" i="42"/>
  <c r="X41" i="57"/>
  <c r="B41" i="57"/>
  <c r="X40" i="42"/>
  <c r="B40" i="42"/>
  <c r="X40" i="57"/>
  <c r="B40" i="57"/>
  <c r="X47" i="42"/>
  <c r="B47" i="42"/>
  <c r="X43" i="42"/>
  <c r="B43" i="42"/>
  <c r="X43" i="57"/>
  <c r="B43" i="57"/>
  <c r="X44" i="42"/>
  <c r="B44" i="42"/>
  <c r="X46" i="42"/>
  <c r="B46" i="42"/>
  <c r="X39" i="42"/>
  <c r="B39" i="42"/>
  <c r="X44" i="57"/>
  <c r="B44" i="57"/>
  <c r="D8" i="14" l="1"/>
  <c r="E8" i="14" s="1"/>
  <c r="C8" i="14"/>
  <c r="A8" i="14"/>
  <c r="F161" i="57"/>
  <c r="E161" i="57" s="1"/>
  <c r="F160" i="57"/>
  <c r="E160" i="57" s="1"/>
  <c r="F159" i="57"/>
  <c r="E159" i="57" s="1"/>
  <c r="F158" i="57"/>
  <c r="E158" i="57" s="1"/>
  <c r="B139" i="57"/>
  <c r="B100" i="57" a="1"/>
  <c r="B100" i="57" s="1"/>
  <c r="Y80" i="57"/>
  <c r="X80" i="57"/>
  <c r="W80" i="57"/>
  <c r="V80" i="57"/>
  <c r="U80" i="57"/>
  <c r="T80" i="57"/>
  <c r="S80" i="57"/>
  <c r="R80" i="57"/>
  <c r="Q80" i="57"/>
  <c r="P80" i="57"/>
  <c r="O80" i="57"/>
  <c r="N80" i="57"/>
  <c r="M80" i="57"/>
  <c r="L80" i="57"/>
  <c r="K80" i="57"/>
  <c r="J80" i="57"/>
  <c r="I80" i="57"/>
  <c r="H80" i="57"/>
  <c r="G80" i="57"/>
  <c r="F80" i="57"/>
  <c r="E80" i="57"/>
  <c r="D80" i="57"/>
  <c r="C80" i="57"/>
  <c r="B80" i="57"/>
  <c r="A80" i="57"/>
  <c r="Y79" i="57"/>
  <c r="X79" i="57"/>
  <c r="W79" i="57"/>
  <c r="V79" i="57"/>
  <c r="U79" i="57"/>
  <c r="T79" i="57"/>
  <c r="S79" i="57"/>
  <c r="R79" i="57"/>
  <c r="Q79" i="57"/>
  <c r="P79" i="57"/>
  <c r="O79" i="57"/>
  <c r="N79" i="57"/>
  <c r="M79" i="57"/>
  <c r="L79" i="57"/>
  <c r="K79" i="57"/>
  <c r="J79" i="57"/>
  <c r="I79" i="57"/>
  <c r="H79" i="57"/>
  <c r="G79" i="57"/>
  <c r="F79" i="57"/>
  <c r="E79" i="57"/>
  <c r="D79" i="57"/>
  <c r="C79" i="57"/>
  <c r="B79" i="57"/>
  <c r="A79" i="57"/>
  <c r="Y78" i="57"/>
  <c r="X78" i="57"/>
  <c r="W78" i="57"/>
  <c r="V78" i="57"/>
  <c r="U78" i="57"/>
  <c r="T78" i="57"/>
  <c r="S78" i="57"/>
  <c r="R78" i="57"/>
  <c r="Q78" i="57"/>
  <c r="P78" i="57"/>
  <c r="O78" i="57"/>
  <c r="N78" i="57"/>
  <c r="M78" i="57"/>
  <c r="L78" i="57"/>
  <c r="K78" i="57"/>
  <c r="J78" i="57"/>
  <c r="I78" i="57"/>
  <c r="H78" i="57"/>
  <c r="G78" i="57"/>
  <c r="F78" i="57"/>
  <c r="E78" i="57"/>
  <c r="D78" i="57"/>
  <c r="C78" i="57"/>
  <c r="B78" i="57"/>
  <c r="A78" i="57"/>
  <c r="A77" i="57"/>
  <c r="Y76" i="57"/>
  <c r="X76" i="57"/>
  <c r="W76" i="57"/>
  <c r="V76" i="57"/>
  <c r="U76" i="57"/>
  <c r="T76" i="57"/>
  <c r="S76" i="57"/>
  <c r="R76" i="57"/>
  <c r="Q76" i="57"/>
  <c r="P76" i="57"/>
  <c r="O76" i="57"/>
  <c r="N76" i="57"/>
  <c r="M76" i="57"/>
  <c r="L76" i="57"/>
  <c r="K76" i="57"/>
  <c r="J76" i="57"/>
  <c r="I76" i="57"/>
  <c r="H76" i="57"/>
  <c r="G76" i="57"/>
  <c r="F76" i="57"/>
  <c r="E76" i="57"/>
  <c r="D76" i="57"/>
  <c r="C76" i="57"/>
  <c r="B76" i="57"/>
  <c r="A76" i="57"/>
  <c r="Y75" i="57"/>
  <c r="X75" i="57"/>
  <c r="W75" i="57"/>
  <c r="V75" i="57"/>
  <c r="U75" i="57"/>
  <c r="T75" i="57"/>
  <c r="S75" i="57"/>
  <c r="R75" i="57"/>
  <c r="Q75" i="57"/>
  <c r="P75" i="57"/>
  <c r="O75" i="57"/>
  <c r="N75" i="57"/>
  <c r="M75" i="57"/>
  <c r="L75" i="57"/>
  <c r="K75" i="57"/>
  <c r="J75" i="57"/>
  <c r="I75" i="57"/>
  <c r="H75" i="57"/>
  <c r="G75" i="57"/>
  <c r="F75" i="57"/>
  <c r="E75" i="57"/>
  <c r="D75" i="57"/>
  <c r="C75" i="57"/>
  <c r="B75" i="57"/>
  <c r="A75" i="57"/>
  <c r="Y74" i="57"/>
  <c r="X74" i="57"/>
  <c r="W74" i="57"/>
  <c r="V74" i="57"/>
  <c r="U74" i="57"/>
  <c r="T74" i="57"/>
  <c r="S74" i="57"/>
  <c r="R74" i="57"/>
  <c r="Q74" i="57"/>
  <c r="P74" i="57"/>
  <c r="O74" i="57"/>
  <c r="N74" i="57"/>
  <c r="M74" i="57"/>
  <c r="L74" i="57"/>
  <c r="K74" i="57"/>
  <c r="J74" i="57"/>
  <c r="I74" i="57"/>
  <c r="H74" i="57"/>
  <c r="G74" i="57"/>
  <c r="F74" i="57"/>
  <c r="E74" i="57"/>
  <c r="D74" i="57"/>
  <c r="C74" i="57"/>
  <c r="B74" i="57"/>
  <c r="A74" i="57"/>
  <c r="Y73" i="57"/>
  <c r="X73" i="57"/>
  <c r="W73" i="57"/>
  <c r="V73" i="57"/>
  <c r="U73" i="57"/>
  <c r="T73" i="57"/>
  <c r="S73" i="57"/>
  <c r="R73" i="57"/>
  <c r="Q73" i="57"/>
  <c r="P73" i="57"/>
  <c r="O73" i="57"/>
  <c r="N73" i="57"/>
  <c r="M73" i="57"/>
  <c r="L73" i="57"/>
  <c r="K73" i="57"/>
  <c r="J73" i="57"/>
  <c r="I73" i="57"/>
  <c r="H73" i="57"/>
  <c r="G73" i="57"/>
  <c r="F73" i="57"/>
  <c r="E73" i="57"/>
  <c r="D73" i="57"/>
  <c r="C73" i="57"/>
  <c r="B73" i="57"/>
  <c r="A73" i="57"/>
  <c r="Y72" i="57"/>
  <c r="X72" i="57"/>
  <c r="W72" i="57"/>
  <c r="V72" i="57"/>
  <c r="U72" i="57"/>
  <c r="T72" i="57"/>
  <c r="S72" i="57"/>
  <c r="R72" i="57"/>
  <c r="Q72" i="57"/>
  <c r="P72" i="57"/>
  <c r="O72" i="57"/>
  <c r="N72" i="57"/>
  <c r="M72" i="57"/>
  <c r="L72" i="57"/>
  <c r="K72" i="57"/>
  <c r="J72" i="57"/>
  <c r="I72" i="57"/>
  <c r="H72" i="57"/>
  <c r="G72" i="57"/>
  <c r="F72" i="57"/>
  <c r="E72" i="57"/>
  <c r="D72" i="57"/>
  <c r="C72" i="57"/>
  <c r="B72" i="57"/>
  <c r="A72" i="57"/>
  <c r="Y71" i="57"/>
  <c r="X71" i="57"/>
  <c r="W71" i="57"/>
  <c r="V71" i="57"/>
  <c r="U71" i="57"/>
  <c r="T71" i="57"/>
  <c r="S71" i="57"/>
  <c r="R71" i="57"/>
  <c r="Q71" i="57"/>
  <c r="P71" i="57"/>
  <c r="O71" i="57"/>
  <c r="N71" i="57"/>
  <c r="M71" i="57"/>
  <c r="L71" i="57"/>
  <c r="K71" i="57"/>
  <c r="J71" i="57"/>
  <c r="I71" i="57"/>
  <c r="H71" i="57"/>
  <c r="G71" i="57"/>
  <c r="F71" i="57"/>
  <c r="E71" i="57"/>
  <c r="D71" i="57"/>
  <c r="C71" i="57"/>
  <c r="B71" i="57"/>
  <c r="A71" i="57"/>
  <c r="Y70" i="57"/>
  <c r="X70" i="57"/>
  <c r="W70" i="57"/>
  <c r="V70" i="57"/>
  <c r="U70" i="57"/>
  <c r="T70" i="57"/>
  <c r="S70" i="57"/>
  <c r="R70" i="57"/>
  <c r="Q70" i="57"/>
  <c r="P70" i="57"/>
  <c r="O70" i="57"/>
  <c r="N70" i="57"/>
  <c r="M70" i="57"/>
  <c r="L70" i="57"/>
  <c r="K70" i="57"/>
  <c r="J70" i="57"/>
  <c r="I70" i="57"/>
  <c r="H70" i="57"/>
  <c r="G70" i="57"/>
  <c r="F70" i="57"/>
  <c r="E70" i="57"/>
  <c r="D70" i="57"/>
  <c r="C70" i="57"/>
  <c r="B70" i="57"/>
  <c r="A70" i="57"/>
  <c r="Y69" i="57"/>
  <c r="X69" i="57"/>
  <c r="W69" i="57"/>
  <c r="V69" i="57"/>
  <c r="U69" i="57"/>
  <c r="T69" i="57"/>
  <c r="S69" i="57"/>
  <c r="R69" i="57"/>
  <c r="Q69" i="57"/>
  <c r="P69" i="57"/>
  <c r="O69" i="57"/>
  <c r="N69" i="57"/>
  <c r="M69" i="57"/>
  <c r="L69" i="57"/>
  <c r="K69" i="57"/>
  <c r="J69" i="57"/>
  <c r="I69" i="57"/>
  <c r="H69" i="57"/>
  <c r="G69" i="57"/>
  <c r="F69" i="57"/>
  <c r="E69" i="57"/>
  <c r="D69" i="57"/>
  <c r="C69" i="57"/>
  <c r="B69" i="57"/>
  <c r="A69" i="57"/>
  <c r="Y67" i="57"/>
  <c r="Y66" i="57"/>
  <c r="AG52" i="57"/>
  <c r="Y52" i="57"/>
  <c r="AH43" i="57"/>
  <c r="AH44" i="57" s="1"/>
  <c r="AG34" i="57"/>
  <c r="Y35" i="57"/>
  <c r="X35" i="57"/>
  <c r="X56" i="57" s="1"/>
  <c r="W35" i="57"/>
  <c r="W62" i="57" s="1"/>
  <c r="V35" i="57"/>
  <c r="V54" i="57" s="1"/>
  <c r="U35" i="57"/>
  <c r="U60" i="57" s="1"/>
  <c r="T35" i="57"/>
  <c r="T57" i="57" s="1"/>
  <c r="C159" i="57" s="1"/>
  <c r="D159" i="57" s="1"/>
  <c r="S35" i="57"/>
  <c r="S57" i="57" s="1"/>
  <c r="R35" i="57"/>
  <c r="R65" i="57" s="1"/>
  <c r="Q35" i="57"/>
  <c r="Q50" i="57" s="1"/>
  <c r="Q52" i="57" s="1"/>
  <c r="P35" i="57"/>
  <c r="P63" i="57" s="1"/>
  <c r="O35" i="57"/>
  <c r="O63" i="57" s="1"/>
  <c r="N35" i="57"/>
  <c r="N61" i="57" s="1"/>
  <c r="M35" i="57"/>
  <c r="M61" i="57" s="1"/>
  <c r="L35" i="57"/>
  <c r="L59" i="57" s="1"/>
  <c r="K35" i="57"/>
  <c r="K59" i="57" s="1"/>
  <c r="J35" i="57"/>
  <c r="J59" i="57" s="1"/>
  <c r="I35" i="57"/>
  <c r="I64" i="57" s="1"/>
  <c r="H35" i="57"/>
  <c r="H56" i="57" s="1"/>
  <c r="G35" i="57"/>
  <c r="G62" i="57" s="1"/>
  <c r="F35" i="57"/>
  <c r="F54" i="57" s="1"/>
  <c r="E35" i="57"/>
  <c r="E60" i="57" s="1"/>
  <c r="D35" i="57"/>
  <c r="D60" i="57" s="1"/>
  <c r="F162" i="57" s="1"/>
  <c r="E162" i="57" s="1"/>
  <c r="C35" i="57"/>
  <c r="C60" i="57" s="1"/>
  <c r="B35" i="57"/>
  <c r="B65" i="57" s="1"/>
  <c r="Y33" i="57"/>
  <c r="Y36" i="57" s="1"/>
  <c r="Y34" i="57" s="1"/>
  <c r="Y37" i="57" s="1"/>
  <c r="X33" i="57"/>
  <c r="W33" i="57"/>
  <c r="W36" i="57" s="1"/>
  <c r="W34" i="57" s="1"/>
  <c r="W37" i="57" s="1"/>
  <c r="V33" i="57"/>
  <c r="V36" i="57" s="1"/>
  <c r="V34" i="57" s="1"/>
  <c r="V37" i="57" s="1"/>
  <c r="U33" i="57"/>
  <c r="U36" i="57" s="1"/>
  <c r="U34" i="57" s="1"/>
  <c r="U37" i="57" s="1"/>
  <c r="T33" i="57"/>
  <c r="T36" i="57" s="1"/>
  <c r="T34" i="57" s="1"/>
  <c r="T37" i="57" s="1"/>
  <c r="S33" i="57"/>
  <c r="S36" i="57" s="1"/>
  <c r="S34" i="57" s="1"/>
  <c r="S37" i="57" s="1"/>
  <c r="R33" i="57"/>
  <c r="R36" i="57" s="1"/>
  <c r="R34" i="57" s="1"/>
  <c r="R37" i="57" s="1"/>
  <c r="Q33" i="57"/>
  <c r="Q36" i="57" s="1"/>
  <c r="Q34" i="57" s="1"/>
  <c r="Q37" i="57" s="1"/>
  <c r="P33" i="57"/>
  <c r="P36" i="57" s="1"/>
  <c r="P34" i="57" s="1"/>
  <c r="P37" i="57" s="1"/>
  <c r="O33" i="57"/>
  <c r="O36" i="57" s="1"/>
  <c r="O34" i="57" s="1"/>
  <c r="O37" i="57" s="1"/>
  <c r="N33" i="57"/>
  <c r="N36" i="57" s="1"/>
  <c r="N34" i="57" s="1"/>
  <c r="N37" i="57" s="1"/>
  <c r="M33" i="57"/>
  <c r="M36" i="57" s="1"/>
  <c r="M34" i="57" s="1"/>
  <c r="M37" i="57" s="1"/>
  <c r="L33" i="57"/>
  <c r="L36" i="57" s="1"/>
  <c r="L34" i="57" s="1"/>
  <c r="L37" i="57" s="1"/>
  <c r="K33" i="57"/>
  <c r="K36" i="57" s="1"/>
  <c r="K34" i="57" s="1"/>
  <c r="K37" i="57" s="1"/>
  <c r="J33" i="57"/>
  <c r="J36" i="57" s="1"/>
  <c r="J34" i="57" s="1"/>
  <c r="J37" i="57" s="1"/>
  <c r="I33" i="57"/>
  <c r="I36" i="57" s="1"/>
  <c r="I34" i="57" s="1"/>
  <c r="I37" i="57" s="1"/>
  <c r="H33" i="57"/>
  <c r="H36" i="57" s="1"/>
  <c r="H34" i="57" s="1"/>
  <c r="H37" i="57" s="1"/>
  <c r="G33" i="57"/>
  <c r="G36" i="57" s="1"/>
  <c r="G34" i="57" s="1"/>
  <c r="G37" i="57" s="1"/>
  <c r="F33" i="57"/>
  <c r="F36" i="57" s="1"/>
  <c r="F34" i="57" s="1"/>
  <c r="F37" i="57" s="1"/>
  <c r="E33" i="57"/>
  <c r="E36" i="57" s="1"/>
  <c r="E34" i="57" s="1"/>
  <c r="E37" i="57" s="1"/>
  <c r="D33" i="57"/>
  <c r="D36" i="57" s="1"/>
  <c r="D34" i="57" s="1"/>
  <c r="D37" i="57" s="1"/>
  <c r="C33" i="57"/>
  <c r="C36" i="57" s="1"/>
  <c r="C34" i="57" s="1"/>
  <c r="C37" i="57" s="1"/>
  <c r="B33" i="57"/>
  <c r="W30" i="57"/>
  <c r="V30" i="57"/>
  <c r="U30" i="57"/>
  <c r="T30" i="57"/>
  <c r="S30" i="57"/>
  <c r="O30" i="57"/>
  <c r="L30" i="57"/>
  <c r="I30" i="57"/>
  <c r="F30" i="57"/>
  <c r="W26" i="57"/>
  <c r="V26" i="57"/>
  <c r="U26" i="57"/>
  <c r="T26" i="57"/>
  <c r="S26" i="57"/>
  <c r="O26" i="57"/>
  <c r="L26" i="57"/>
  <c r="I26" i="57"/>
  <c r="F26" i="57"/>
  <c r="Y24" i="57"/>
  <c r="X24" i="57"/>
  <c r="W24" i="57"/>
  <c r="S24" i="57"/>
  <c r="S98" i="57" s="1"/>
  <c r="R24" i="57"/>
  <c r="R98" i="57" s="1"/>
  <c r="Q24" i="57"/>
  <c r="Q98" i="57" s="1"/>
  <c r="P24" i="57"/>
  <c r="O24" i="57"/>
  <c r="N24" i="57"/>
  <c r="M24" i="57"/>
  <c r="L24" i="57"/>
  <c r="K24" i="57"/>
  <c r="K98" i="57" s="1"/>
  <c r="J24" i="57"/>
  <c r="J98" i="57" s="1"/>
  <c r="I24" i="57"/>
  <c r="I98" i="57" s="1"/>
  <c r="H24" i="57"/>
  <c r="G24" i="57"/>
  <c r="F24" i="57"/>
  <c r="E24" i="57"/>
  <c r="D24" i="57"/>
  <c r="C24" i="57"/>
  <c r="C98" i="57" s="1"/>
  <c r="B24" i="57"/>
  <c r="B98" i="57" s="1"/>
  <c r="AH22" i="57"/>
  <c r="Y19" i="57"/>
  <c r="V18" i="57"/>
  <c r="U18" i="57"/>
  <c r="T18" i="57"/>
  <c r="S18" i="57"/>
  <c r="R18" i="57"/>
  <c r="Q18" i="57"/>
  <c r="P18" i="57"/>
  <c r="C15" i="57"/>
  <c r="D15" i="57" s="1"/>
  <c r="E15" i="57" s="1"/>
  <c r="F15" i="57" s="1"/>
  <c r="G15" i="57" s="1"/>
  <c r="H15" i="57" s="1"/>
  <c r="I15" i="57" s="1"/>
  <c r="J15" i="57" s="1"/>
  <c r="K15" i="57" s="1"/>
  <c r="L15" i="57" s="1"/>
  <c r="M15" i="57" s="1"/>
  <c r="N15" i="57" s="1"/>
  <c r="O15" i="57" s="1"/>
  <c r="P15" i="57" s="1"/>
  <c r="Q15" i="57" s="1"/>
  <c r="R15" i="57" s="1"/>
  <c r="S15" i="57" s="1"/>
  <c r="T15" i="57" s="1"/>
  <c r="U15" i="57" s="1"/>
  <c r="V15" i="57" s="1"/>
  <c r="W15" i="57" s="1"/>
  <c r="X15" i="57" s="1"/>
  <c r="B11" i="57"/>
  <c r="P30" i="57" s="1"/>
  <c r="B10" i="57"/>
  <c r="V24" i="57" s="1"/>
  <c r="B9" i="57"/>
  <c r="Q23" i="57" s="1"/>
  <c r="B7" i="57"/>
  <c r="B8" i="57" s="1"/>
  <c r="B3" i="57"/>
  <c r="B17" i="55"/>
  <c r="D98" i="57" l="1"/>
  <c r="L98" i="57"/>
  <c r="E98" i="57"/>
  <c r="M98" i="57"/>
  <c r="X98" i="57"/>
  <c r="V98" i="57"/>
  <c r="N98" i="57"/>
  <c r="G98" i="57"/>
  <c r="H98" i="57"/>
  <c r="R50" i="57"/>
  <c r="R52" i="57" s="1"/>
  <c r="G46" i="57"/>
  <c r="G45" i="57"/>
  <c r="G44" i="57"/>
  <c r="G42" i="57"/>
  <c r="G47" i="57"/>
  <c r="G43" i="57"/>
  <c r="G41" i="57"/>
  <c r="G40" i="57"/>
  <c r="G39" i="57"/>
  <c r="W46" i="57"/>
  <c r="W45" i="57"/>
  <c r="W42" i="57"/>
  <c r="W40" i="57"/>
  <c r="W47" i="57"/>
  <c r="W43" i="57"/>
  <c r="W41" i="57"/>
  <c r="W39" i="57"/>
  <c r="W44" i="57"/>
  <c r="D45" i="57"/>
  <c r="D46" i="57"/>
  <c r="D44" i="57"/>
  <c r="D39" i="57"/>
  <c r="D43" i="57"/>
  <c r="D40" i="57"/>
  <c r="D41" i="57"/>
  <c r="D47" i="57"/>
  <c r="D42" i="57"/>
  <c r="H46" i="57"/>
  <c r="H45" i="57"/>
  <c r="H42" i="57"/>
  <c r="H47" i="57"/>
  <c r="H44" i="57"/>
  <c r="H41" i="57"/>
  <c r="H40" i="57"/>
  <c r="H43" i="57"/>
  <c r="H39" i="57"/>
  <c r="C46" i="57"/>
  <c r="C45" i="57"/>
  <c r="C41" i="57"/>
  <c r="C44" i="57"/>
  <c r="C47" i="57"/>
  <c r="C39" i="57"/>
  <c r="C43" i="57"/>
  <c r="C42" i="57"/>
  <c r="C40" i="57"/>
  <c r="F46" i="57"/>
  <c r="F45" i="57"/>
  <c r="F44" i="57"/>
  <c r="F42" i="57"/>
  <c r="F47" i="57"/>
  <c r="F41" i="57"/>
  <c r="F40" i="57"/>
  <c r="F39" i="57"/>
  <c r="F43" i="57"/>
  <c r="I45" i="57"/>
  <c r="I46" i="57"/>
  <c r="I47" i="57"/>
  <c r="I44" i="57"/>
  <c r="I41" i="57"/>
  <c r="I42" i="57"/>
  <c r="I39" i="57"/>
  <c r="I43" i="57"/>
  <c r="I40" i="57"/>
  <c r="Y45" i="57"/>
  <c r="Y46" i="57"/>
  <c r="Y41" i="57"/>
  <c r="Y44" i="57"/>
  <c r="Y42" i="57"/>
  <c r="Y39" i="57"/>
  <c r="Y43" i="57"/>
  <c r="Y40" i="57"/>
  <c r="Y47" i="57"/>
  <c r="O46" i="57"/>
  <c r="O45" i="57"/>
  <c r="O42" i="57"/>
  <c r="O39" i="57"/>
  <c r="O43" i="57"/>
  <c r="O44" i="57"/>
  <c r="O40" i="57"/>
  <c r="O47" i="57"/>
  <c r="O41" i="57"/>
  <c r="T47" i="57"/>
  <c r="T46" i="57"/>
  <c r="T44" i="57"/>
  <c r="C147" i="57" s="1"/>
  <c r="T45" i="57"/>
  <c r="C148" i="57" s="1"/>
  <c r="T39" i="57"/>
  <c r="C142" i="57" s="1"/>
  <c r="T43" i="57"/>
  <c r="C146" i="57" s="1"/>
  <c r="T40" i="57"/>
  <c r="C143" i="57" s="1"/>
  <c r="T42" i="57"/>
  <c r="C145" i="57" s="1"/>
  <c r="T41" i="57"/>
  <c r="C144" i="57" s="1"/>
  <c r="V47" i="57"/>
  <c r="V46" i="57"/>
  <c r="V44" i="57"/>
  <c r="V45" i="57"/>
  <c r="V42" i="57"/>
  <c r="V41" i="57"/>
  <c r="V40" i="57"/>
  <c r="V43" i="57"/>
  <c r="V39" i="57"/>
  <c r="U47" i="57"/>
  <c r="U46" i="57"/>
  <c r="U44" i="57"/>
  <c r="U45" i="57"/>
  <c r="U42" i="57"/>
  <c r="U40" i="57"/>
  <c r="U41" i="57"/>
  <c r="U43" i="57"/>
  <c r="U39" i="57"/>
  <c r="J46" i="57"/>
  <c r="J45" i="57"/>
  <c r="J43" i="57"/>
  <c r="J42" i="57"/>
  <c r="J39" i="57"/>
  <c r="J40" i="57"/>
  <c r="J47" i="57"/>
  <c r="J41" i="57"/>
  <c r="J44" i="57"/>
  <c r="L46" i="57"/>
  <c r="L45" i="57"/>
  <c r="L42" i="57"/>
  <c r="L39" i="57"/>
  <c r="L43" i="57"/>
  <c r="L40" i="57"/>
  <c r="L44" i="57"/>
  <c r="L47" i="57"/>
  <c r="L41" i="57"/>
  <c r="E45" i="57"/>
  <c r="E46" i="57"/>
  <c r="E44" i="57"/>
  <c r="E47" i="57"/>
  <c r="E42" i="57"/>
  <c r="E40" i="57"/>
  <c r="E41" i="57"/>
  <c r="E43" i="57"/>
  <c r="E39" i="57"/>
  <c r="K46" i="57"/>
  <c r="K45" i="57"/>
  <c r="K41" i="57"/>
  <c r="K39" i="57"/>
  <c r="K43" i="57"/>
  <c r="K42" i="57"/>
  <c r="K44" i="57"/>
  <c r="K40" i="57"/>
  <c r="K47" i="57"/>
  <c r="M46" i="57"/>
  <c r="M45" i="57"/>
  <c r="M41" i="57"/>
  <c r="M42" i="57"/>
  <c r="M39" i="57"/>
  <c r="M43" i="57"/>
  <c r="M40" i="57"/>
  <c r="M44" i="57"/>
  <c r="M47" i="57"/>
  <c r="S45" i="57"/>
  <c r="S46" i="57"/>
  <c r="S39" i="57"/>
  <c r="S43" i="57"/>
  <c r="S44" i="57"/>
  <c r="S41" i="57"/>
  <c r="S42" i="57"/>
  <c r="S47" i="57"/>
  <c r="S40" i="57"/>
  <c r="N45" i="57"/>
  <c r="N46" i="57"/>
  <c r="N42" i="57"/>
  <c r="N39" i="57"/>
  <c r="N43" i="57"/>
  <c r="N40" i="57"/>
  <c r="N44" i="57"/>
  <c r="N47" i="57"/>
  <c r="N41" i="57"/>
  <c r="P45" i="57"/>
  <c r="P46" i="57"/>
  <c r="P39" i="57"/>
  <c r="P40" i="57"/>
  <c r="P43" i="57"/>
  <c r="P42" i="57"/>
  <c r="P47" i="57"/>
  <c r="P41" i="57"/>
  <c r="P44" i="57"/>
  <c r="B148" i="57"/>
  <c r="B147" i="57"/>
  <c r="B146" i="57"/>
  <c r="B145" i="57"/>
  <c r="B144" i="57"/>
  <c r="B143" i="57"/>
  <c r="B142" i="57"/>
  <c r="B150" i="57"/>
  <c r="B149" i="57"/>
  <c r="Q46" i="57"/>
  <c r="Q45" i="57"/>
  <c r="Q43" i="57"/>
  <c r="Q40" i="57"/>
  <c r="Q39" i="57"/>
  <c r="Q42" i="57"/>
  <c r="Q44" i="57"/>
  <c r="Q41" i="57"/>
  <c r="Q47" i="57"/>
  <c r="R45" i="57"/>
  <c r="R46" i="57"/>
  <c r="R43" i="57"/>
  <c r="R39" i="57"/>
  <c r="R40" i="57"/>
  <c r="R44" i="57"/>
  <c r="R47" i="57"/>
  <c r="R41" i="57"/>
  <c r="R42" i="57"/>
  <c r="X49" i="57"/>
  <c r="X51" i="57" s="1"/>
  <c r="X50" i="57"/>
  <c r="X52" i="57" s="1"/>
  <c r="R30" i="57"/>
  <c r="Q63" i="57"/>
  <c r="G54" i="57"/>
  <c r="W54" i="57"/>
  <c r="Q58" i="57"/>
  <c r="X62" i="57"/>
  <c r="C23" i="57"/>
  <c r="H49" i="57"/>
  <c r="H51" i="57" s="1"/>
  <c r="M23" i="57"/>
  <c r="W49" i="57"/>
  <c r="W51" i="57" s="1"/>
  <c r="J64" i="57"/>
  <c r="C65" i="57"/>
  <c r="S65" i="57"/>
  <c r="N23" i="57"/>
  <c r="B30" i="57"/>
  <c r="M55" i="57"/>
  <c r="I56" i="57"/>
  <c r="G49" i="57"/>
  <c r="G51" i="57" s="1"/>
  <c r="S56" i="57"/>
  <c r="E57" i="57"/>
  <c r="Q30" i="57"/>
  <c r="J49" i="57"/>
  <c r="J51" i="57" s="1"/>
  <c r="U57" i="57"/>
  <c r="M59" i="57"/>
  <c r="B50" i="57"/>
  <c r="B52" i="57" s="1"/>
  <c r="F60" i="57"/>
  <c r="H50" i="57"/>
  <c r="H52" i="57" s="1"/>
  <c r="V60" i="57"/>
  <c r="O50" i="57"/>
  <c r="O52" i="57" s="1"/>
  <c r="H62" i="57"/>
  <c r="L23" i="57"/>
  <c r="P23" i="57"/>
  <c r="R23" i="57"/>
  <c r="S23" i="57"/>
  <c r="T23" i="57"/>
  <c r="U23" i="57"/>
  <c r="B23" i="57"/>
  <c r="V23" i="57"/>
  <c r="Y30" i="57"/>
  <c r="W23" i="57"/>
  <c r="C30" i="57"/>
  <c r="D30" i="57"/>
  <c r="E23" i="57"/>
  <c r="G23" i="57"/>
  <c r="X23" i="57"/>
  <c r="H23" i="57"/>
  <c r="D23" i="57"/>
  <c r="F23" i="57"/>
  <c r="K23" i="57"/>
  <c r="K97" i="57" s="1"/>
  <c r="K18" i="57" s="1"/>
  <c r="W94" i="57"/>
  <c r="G94" i="57"/>
  <c r="V94" i="57"/>
  <c r="F94" i="57"/>
  <c r="U94" i="57"/>
  <c r="E94" i="57"/>
  <c r="B101" i="57"/>
  <c r="Q97" i="57" s="1"/>
  <c r="T94" i="57"/>
  <c r="D94" i="57"/>
  <c r="S94" i="57"/>
  <c r="C94" i="57"/>
  <c r="R94" i="57"/>
  <c r="B94" i="57"/>
  <c r="X94" i="57"/>
  <c r="Q94" i="57"/>
  <c r="P98" i="57"/>
  <c r="P94" i="57"/>
  <c r="O94" i="57"/>
  <c r="N94" i="57"/>
  <c r="M94" i="57"/>
  <c r="H94" i="57"/>
  <c r="L94" i="57"/>
  <c r="K94" i="57"/>
  <c r="J94" i="57"/>
  <c r="Y94" i="57"/>
  <c r="I94" i="57"/>
  <c r="Y21" i="57"/>
  <c r="O98" i="57"/>
  <c r="V21" i="57"/>
  <c r="F21" i="57"/>
  <c r="U21" i="57"/>
  <c r="E21" i="57"/>
  <c r="S21" i="57"/>
  <c r="C21" i="57"/>
  <c r="R21" i="57"/>
  <c r="B21" i="57"/>
  <c r="Q21" i="57"/>
  <c r="P21" i="57"/>
  <c r="O21" i="57"/>
  <c r="W21" i="57"/>
  <c r="T21" i="57"/>
  <c r="M21" i="57"/>
  <c r="N21" i="57"/>
  <c r="L21" i="57"/>
  <c r="K21" i="57"/>
  <c r="H21" i="57"/>
  <c r="G21" i="57"/>
  <c r="J21" i="57"/>
  <c r="I21" i="57"/>
  <c r="D21" i="57"/>
  <c r="X21" i="57"/>
  <c r="W98" i="57"/>
  <c r="F98" i="57"/>
  <c r="Y98" i="57"/>
  <c r="O61" i="57"/>
  <c r="E30" i="57"/>
  <c r="K49" i="57"/>
  <c r="K51" i="57" s="1"/>
  <c r="C50" i="57"/>
  <c r="C52" i="57" s="1"/>
  <c r="S50" i="57"/>
  <c r="S52" i="57" s="1"/>
  <c r="H54" i="57"/>
  <c r="X54" i="57"/>
  <c r="N55" i="57"/>
  <c r="J56" i="57"/>
  <c r="F57" i="57"/>
  <c r="V57" i="57"/>
  <c r="R58" i="57"/>
  <c r="N59" i="57"/>
  <c r="G60" i="57"/>
  <c r="W60" i="57"/>
  <c r="P61" i="57"/>
  <c r="I62" i="57"/>
  <c r="B63" i="57"/>
  <c r="R63" i="57"/>
  <c r="K64" i="57"/>
  <c r="D65" i="57"/>
  <c r="F167" i="57" s="1"/>
  <c r="E167" i="57" s="1"/>
  <c r="T65" i="57"/>
  <c r="C167" i="57" s="1"/>
  <c r="D167" i="57" s="1"/>
  <c r="L49" i="57"/>
  <c r="L51" i="57" s="1"/>
  <c r="D50" i="57"/>
  <c r="T50" i="57"/>
  <c r="I54" i="57"/>
  <c r="O55" i="57"/>
  <c r="K56" i="57"/>
  <c r="G57" i="57"/>
  <c r="W57" i="57"/>
  <c r="S58" i="57"/>
  <c r="O59" i="57"/>
  <c r="H60" i="57"/>
  <c r="X60" i="57"/>
  <c r="Q61" i="57"/>
  <c r="J62" i="57"/>
  <c r="C63" i="57"/>
  <c r="S63" i="57"/>
  <c r="L64" i="57"/>
  <c r="E65" i="57"/>
  <c r="U65" i="57"/>
  <c r="I23" i="57"/>
  <c r="Y23" i="57"/>
  <c r="G30" i="57"/>
  <c r="M49" i="57"/>
  <c r="M51" i="57" s="1"/>
  <c r="E50" i="57"/>
  <c r="E52" i="57" s="1"/>
  <c r="U50" i="57"/>
  <c r="U52" i="57" s="1"/>
  <c r="J54" i="57"/>
  <c r="P55" i="57"/>
  <c r="L56" i="57"/>
  <c r="H57" i="57"/>
  <c r="X57" i="57"/>
  <c r="T58" i="57"/>
  <c r="B160" i="57" s="1"/>
  <c r="P59" i="57"/>
  <c r="I60" i="57"/>
  <c r="B61" i="57"/>
  <c r="R61" i="57"/>
  <c r="K62" i="57"/>
  <c r="D63" i="57"/>
  <c r="F165" i="57" s="1"/>
  <c r="E165" i="57" s="1"/>
  <c r="T63" i="57"/>
  <c r="C165" i="57" s="1"/>
  <c r="D165" i="57" s="1"/>
  <c r="M64" i="57"/>
  <c r="F65" i="57"/>
  <c r="V65" i="57"/>
  <c r="J23" i="57"/>
  <c r="H30" i="57"/>
  <c r="X30" i="57"/>
  <c r="N49" i="57"/>
  <c r="N51" i="57" s="1"/>
  <c r="F50" i="57"/>
  <c r="F52" i="57" s="1"/>
  <c r="V50" i="57"/>
  <c r="V52" i="57" s="1"/>
  <c r="K54" i="57"/>
  <c r="Q55" i="57"/>
  <c r="M56" i="57"/>
  <c r="I57" i="57"/>
  <c r="E58" i="57"/>
  <c r="U58" i="57"/>
  <c r="Q59" i="57"/>
  <c r="J60" i="57"/>
  <c r="C61" i="57"/>
  <c r="S61" i="57"/>
  <c r="L62" i="57"/>
  <c r="E63" i="57"/>
  <c r="U63" i="57"/>
  <c r="N64" i="57"/>
  <c r="G65" i="57"/>
  <c r="W65" i="57"/>
  <c r="O49" i="57"/>
  <c r="O51" i="57" s="1"/>
  <c r="G50" i="57"/>
  <c r="G52" i="57" s="1"/>
  <c r="W50" i="57"/>
  <c r="W52" i="57" s="1"/>
  <c r="L54" i="57"/>
  <c r="B55" i="57"/>
  <c r="AH41" i="57" s="1"/>
  <c r="AH42" i="57" s="1"/>
  <c r="R55" i="57"/>
  <c r="N56" i="57"/>
  <c r="J57" i="57"/>
  <c r="F58" i="57"/>
  <c r="V58" i="57"/>
  <c r="R59" i="57"/>
  <c r="K60" i="57"/>
  <c r="D61" i="57"/>
  <c r="F163" i="57" s="1"/>
  <c r="E163" i="57" s="1"/>
  <c r="T61" i="57"/>
  <c r="C163" i="57" s="1"/>
  <c r="D163" i="57" s="1"/>
  <c r="M62" i="57"/>
  <c r="F63" i="57"/>
  <c r="V63" i="57"/>
  <c r="O64" i="57"/>
  <c r="H65" i="57"/>
  <c r="X65" i="57"/>
  <c r="J30" i="57"/>
  <c r="P49" i="57"/>
  <c r="P51" i="57" s="1"/>
  <c r="M54" i="57"/>
  <c r="C55" i="57"/>
  <c r="S55" i="57"/>
  <c r="O56" i="57"/>
  <c r="K57" i="57"/>
  <c r="G58" i="57"/>
  <c r="W58" i="57"/>
  <c r="S59" i="57"/>
  <c r="L60" i="57"/>
  <c r="E61" i="57"/>
  <c r="U61" i="57"/>
  <c r="N62" i="57"/>
  <c r="G63" i="57"/>
  <c r="W63" i="57"/>
  <c r="P64" i="57"/>
  <c r="I65" i="57"/>
  <c r="K30" i="57"/>
  <c r="Q49" i="57"/>
  <c r="Q51" i="57" s="1"/>
  <c r="I50" i="57"/>
  <c r="I52" i="57" s="1"/>
  <c r="N54" i="57"/>
  <c r="D55" i="57"/>
  <c r="T55" i="57"/>
  <c r="P56" i="57"/>
  <c r="L57" i="57"/>
  <c r="H58" i="57"/>
  <c r="X58" i="57"/>
  <c r="T59" i="57"/>
  <c r="C161" i="57" s="1"/>
  <c r="D161" i="57" s="1"/>
  <c r="M60" i="57"/>
  <c r="F61" i="57"/>
  <c r="V61" i="57"/>
  <c r="O62" i="57"/>
  <c r="H63" i="57"/>
  <c r="X63" i="57"/>
  <c r="Q64" i="57"/>
  <c r="J65" i="57"/>
  <c r="U24" i="57"/>
  <c r="U98" i="57" s="1"/>
  <c r="B49" i="57"/>
  <c r="R49" i="57"/>
  <c r="R51" i="57" s="1"/>
  <c r="J50" i="57"/>
  <c r="J52" i="57" s="1"/>
  <c r="O54" i="57"/>
  <c r="E55" i="57"/>
  <c r="U55" i="57"/>
  <c r="Q56" i="57"/>
  <c r="M57" i="57"/>
  <c r="I58" i="57"/>
  <c r="E59" i="57"/>
  <c r="U59" i="57"/>
  <c r="N60" i="57"/>
  <c r="G61" i="57"/>
  <c r="W61" i="57"/>
  <c r="P62" i="57"/>
  <c r="I63" i="57"/>
  <c r="B64" i="57"/>
  <c r="AH49" i="57" s="1"/>
  <c r="AH50" i="57" s="1"/>
  <c r="R64" i="57"/>
  <c r="K65" i="57"/>
  <c r="T24" i="57"/>
  <c r="T98" i="57" s="1"/>
  <c r="O23" i="57"/>
  <c r="O97" i="57" s="1"/>
  <c r="O18" i="57" s="1"/>
  <c r="M30" i="57"/>
  <c r="C49" i="57"/>
  <c r="C51" i="57" s="1"/>
  <c r="S49" i="57"/>
  <c r="S51" i="57" s="1"/>
  <c r="K50" i="57"/>
  <c r="K52" i="57" s="1"/>
  <c r="P54" i="57"/>
  <c r="F55" i="57"/>
  <c r="V55" i="57"/>
  <c r="R56" i="57"/>
  <c r="N57" i="57"/>
  <c r="J58" i="57"/>
  <c r="F59" i="57"/>
  <c r="V59" i="57"/>
  <c r="O60" i="57"/>
  <c r="H61" i="57"/>
  <c r="X61" i="57"/>
  <c r="Q62" i="57"/>
  <c r="J63" i="57"/>
  <c r="C64" i="57"/>
  <c r="S64" i="57"/>
  <c r="L65" i="57"/>
  <c r="N30" i="57"/>
  <c r="D49" i="57"/>
  <c r="T49" i="57"/>
  <c r="L50" i="57"/>
  <c r="L52" i="57" s="1"/>
  <c r="Q54" i="57"/>
  <c r="G55" i="57"/>
  <c r="W55" i="57"/>
  <c r="O57" i="57"/>
  <c r="K58" i="57"/>
  <c r="G59" i="57"/>
  <c r="W59" i="57"/>
  <c r="P60" i="57"/>
  <c r="I61" i="57"/>
  <c r="B62" i="57"/>
  <c r="R62" i="57"/>
  <c r="K63" i="57"/>
  <c r="D64" i="57"/>
  <c r="F166" i="57" s="1"/>
  <c r="E166" i="57" s="1"/>
  <c r="T64" i="57"/>
  <c r="B166" i="57" s="1"/>
  <c r="M65" i="57"/>
  <c r="E49" i="57"/>
  <c r="E51" i="57" s="1"/>
  <c r="U49" i="57"/>
  <c r="U51" i="57" s="1"/>
  <c r="M50" i="57"/>
  <c r="M52" i="57" s="1"/>
  <c r="B54" i="57"/>
  <c r="R54" i="57"/>
  <c r="H55" i="57"/>
  <c r="X55" i="57"/>
  <c r="T56" i="57"/>
  <c r="B158" i="57" s="1"/>
  <c r="P57" i="57"/>
  <c r="L58" i="57"/>
  <c r="H59" i="57"/>
  <c r="X59" i="57"/>
  <c r="Q60" i="57"/>
  <c r="J61" i="57"/>
  <c r="C62" i="57"/>
  <c r="S62" i="57"/>
  <c r="L63" i="57"/>
  <c r="E64" i="57"/>
  <c r="U64" i="57"/>
  <c r="N65" i="57"/>
  <c r="F49" i="57"/>
  <c r="F51" i="57" s="1"/>
  <c r="V49" i="57"/>
  <c r="V51" i="57" s="1"/>
  <c r="N50" i="57"/>
  <c r="N52" i="57" s="1"/>
  <c r="C54" i="57"/>
  <c r="S54" i="57"/>
  <c r="I55" i="57"/>
  <c r="E56" i="57"/>
  <c r="U56" i="57"/>
  <c r="Q57" i="57"/>
  <c r="M58" i="57"/>
  <c r="I59" i="57"/>
  <c r="B60" i="57"/>
  <c r="R60" i="57"/>
  <c r="K61" i="57"/>
  <c r="D62" i="57"/>
  <c r="F164" i="57" s="1"/>
  <c r="E164" i="57" s="1"/>
  <c r="T62" i="57"/>
  <c r="B164" i="57" s="1"/>
  <c r="M63" i="57"/>
  <c r="F64" i="57"/>
  <c r="V64" i="57"/>
  <c r="O65" i="57"/>
  <c r="D54" i="57"/>
  <c r="T54" i="57"/>
  <c r="J55" i="57"/>
  <c r="F56" i="57"/>
  <c r="V56" i="57"/>
  <c r="R57" i="57"/>
  <c r="N58" i="57"/>
  <c r="S60" i="57"/>
  <c r="L61" i="57"/>
  <c r="E62" i="57"/>
  <c r="U62" i="57"/>
  <c r="N63" i="57"/>
  <c r="G64" i="57"/>
  <c r="W64" i="57"/>
  <c r="P65" i="57"/>
  <c r="P50" i="57"/>
  <c r="P52" i="57" s="1"/>
  <c r="E54" i="57"/>
  <c r="U54" i="57"/>
  <c r="K55" i="57"/>
  <c r="G56" i="57"/>
  <c r="W56" i="57"/>
  <c r="O58" i="57"/>
  <c r="T60" i="57"/>
  <c r="B162" i="57" s="1"/>
  <c r="F62" i="57"/>
  <c r="V62" i="57"/>
  <c r="H64" i="57"/>
  <c r="X64" i="57"/>
  <c r="Q65" i="57"/>
  <c r="B140" i="57"/>
  <c r="I49" i="57"/>
  <c r="I51" i="57" s="1"/>
  <c r="L55" i="57"/>
  <c r="P58" i="57"/>
  <c r="C6" i="14"/>
  <c r="C5" i="14"/>
  <c r="C4" i="14"/>
  <c r="C3" i="14"/>
  <c r="C2" i="14"/>
  <c r="C7" i="14"/>
  <c r="C9" i="14"/>
  <c r="P97" i="57" l="1"/>
  <c r="J97" i="57"/>
  <c r="J18" i="57" s="1"/>
  <c r="D97" i="57"/>
  <c r="D18" i="57" s="1"/>
  <c r="V97" i="57"/>
  <c r="Y97" i="57"/>
  <c r="Y18" i="57" s="1"/>
  <c r="B97" i="57"/>
  <c r="B18" i="57" s="1"/>
  <c r="I97" i="57"/>
  <c r="I18" i="57" s="1"/>
  <c r="U97" i="57"/>
  <c r="T97" i="57"/>
  <c r="W97" i="57"/>
  <c r="W18" i="57" s="1"/>
  <c r="V66" i="57"/>
  <c r="K67" i="57"/>
  <c r="U67" i="57"/>
  <c r="E67" i="57"/>
  <c r="L67" i="57"/>
  <c r="R97" i="57"/>
  <c r="N97" i="57"/>
  <c r="N18" i="57" s="1"/>
  <c r="I67" i="57"/>
  <c r="F66" i="57"/>
  <c r="G66" i="57"/>
  <c r="M67" i="57"/>
  <c r="F97" i="57"/>
  <c r="F18" i="57" s="1"/>
  <c r="E66" i="57"/>
  <c r="J67" i="57"/>
  <c r="S97" i="57"/>
  <c r="C67" i="57"/>
  <c r="L97" i="57"/>
  <c r="L18" i="57" s="1"/>
  <c r="C97" i="57"/>
  <c r="C18" i="57" s="1"/>
  <c r="S67" i="57"/>
  <c r="M66" i="57"/>
  <c r="U66" i="57"/>
  <c r="AH47" i="57"/>
  <c r="AH48" i="57" s="1"/>
  <c r="C66" i="57"/>
  <c r="B51" i="57"/>
  <c r="AH31" i="57" s="1"/>
  <c r="AH29" i="57"/>
  <c r="AH30" i="57" s="1"/>
  <c r="G97" i="57"/>
  <c r="G18" i="57" s="1"/>
  <c r="AH45" i="57"/>
  <c r="AH46" i="57" s="1"/>
  <c r="E97" i="57"/>
  <c r="E18" i="57" s="1"/>
  <c r="S66" i="57"/>
  <c r="R66" i="57"/>
  <c r="B66" i="57"/>
  <c r="W66" i="57"/>
  <c r="AH23" i="57"/>
  <c r="Q66" i="57"/>
  <c r="L25" i="57"/>
  <c r="L27" i="57" s="1"/>
  <c r="L22" i="57"/>
  <c r="P67" i="57"/>
  <c r="N67" i="57"/>
  <c r="N22" i="57"/>
  <c r="N25" i="57"/>
  <c r="T51" i="57"/>
  <c r="B154" i="57" s="1"/>
  <c r="B152" i="57"/>
  <c r="J66" i="57"/>
  <c r="X66" i="57"/>
  <c r="M22" i="57"/>
  <c r="M25" i="57"/>
  <c r="B167" i="57"/>
  <c r="D166" i="57"/>
  <c r="F152" i="57"/>
  <c r="E152" i="57" s="1"/>
  <c r="D51" i="57"/>
  <c r="F154" i="57" s="1"/>
  <c r="E154" i="57" s="1"/>
  <c r="O66" i="57"/>
  <c r="H66" i="57"/>
  <c r="T25" i="57"/>
  <c r="T27" i="57" s="1"/>
  <c r="T22" i="57"/>
  <c r="Q67" i="57"/>
  <c r="W22" i="57"/>
  <c r="W25" i="57"/>
  <c r="W27" i="57" s="1"/>
  <c r="Y22" i="57"/>
  <c r="Y26" i="57" s="1"/>
  <c r="Y25" i="57"/>
  <c r="K66" i="57"/>
  <c r="O22" i="57"/>
  <c r="O25" i="57"/>
  <c r="O27" i="57" s="1"/>
  <c r="P25" i="57"/>
  <c r="P22" i="57"/>
  <c r="Q25" i="57"/>
  <c r="Q22" i="57"/>
  <c r="Q26" i="57" s="1"/>
  <c r="V67" i="57"/>
  <c r="B25" i="57"/>
  <c r="B22" i="57"/>
  <c r="B156" i="57"/>
  <c r="T66" i="57"/>
  <c r="B159" i="57"/>
  <c r="D158" i="57"/>
  <c r="X67" i="57"/>
  <c r="D164" i="57"/>
  <c r="B165" i="57"/>
  <c r="H67" i="57"/>
  <c r="F67" i="57"/>
  <c r="C157" i="57"/>
  <c r="D157" i="57" s="1"/>
  <c r="T67" i="57"/>
  <c r="X22" i="57"/>
  <c r="X25" i="57"/>
  <c r="R25" i="57"/>
  <c r="R22" i="57"/>
  <c r="R26" i="57" s="1"/>
  <c r="D67" i="57"/>
  <c r="F157" i="57"/>
  <c r="E157" i="57" s="1"/>
  <c r="R67" i="57"/>
  <c r="D25" i="57"/>
  <c r="D22" i="57"/>
  <c r="C25" i="57"/>
  <c r="C22" i="57"/>
  <c r="N66" i="57"/>
  <c r="B67" i="57"/>
  <c r="AH39" i="57"/>
  <c r="O67" i="57"/>
  <c r="I22" i="57"/>
  <c r="I25" i="57"/>
  <c r="I27" i="57" s="1"/>
  <c r="S25" i="57"/>
  <c r="S27" i="57" s="1"/>
  <c r="S22" i="57"/>
  <c r="F156" i="57"/>
  <c r="E156" i="57" s="1"/>
  <c r="D66" i="57"/>
  <c r="L66" i="57"/>
  <c r="I66" i="57"/>
  <c r="J22" i="57"/>
  <c r="J25" i="57"/>
  <c r="E25" i="57"/>
  <c r="E22" i="57"/>
  <c r="D160" i="57"/>
  <c r="B161" i="57"/>
  <c r="C153" i="57"/>
  <c r="D153" i="57" s="1"/>
  <c r="T52" i="57"/>
  <c r="C155" i="57" s="1"/>
  <c r="D155" i="57" s="1"/>
  <c r="G22" i="57"/>
  <c r="G25" i="57"/>
  <c r="U22" i="57"/>
  <c r="U25" i="57"/>
  <c r="U27" i="57" s="1"/>
  <c r="D52" i="57"/>
  <c r="F155" i="57" s="1"/>
  <c r="E155" i="57" s="1"/>
  <c r="F153" i="57"/>
  <c r="E153" i="57" s="1"/>
  <c r="H22" i="57"/>
  <c r="H25" i="57"/>
  <c r="F22" i="57"/>
  <c r="F25" i="57"/>
  <c r="F27" i="57" s="1"/>
  <c r="O95" i="57"/>
  <c r="N95" i="57"/>
  <c r="M95" i="57"/>
  <c r="L95" i="57"/>
  <c r="K95" i="57"/>
  <c r="X97" i="57"/>
  <c r="X18" i="57" s="1"/>
  <c r="J95" i="57"/>
  <c r="Y95" i="57"/>
  <c r="I95" i="57"/>
  <c r="X95" i="57"/>
  <c r="H95" i="57"/>
  <c r="H97" i="57"/>
  <c r="H18" i="57" s="1"/>
  <c r="W95" i="57"/>
  <c r="G95" i="57"/>
  <c r="V95" i="57"/>
  <c r="F95" i="57"/>
  <c r="P95" i="57"/>
  <c r="U95" i="57"/>
  <c r="E95" i="57"/>
  <c r="T95" i="57"/>
  <c r="D95" i="57"/>
  <c r="S95" i="57"/>
  <c r="C95" i="57"/>
  <c r="R95" i="57"/>
  <c r="B95" i="57"/>
  <c r="Q95" i="57"/>
  <c r="P66" i="57"/>
  <c r="B163" i="57"/>
  <c r="D162" i="57"/>
  <c r="W67" i="57"/>
  <c r="G67" i="57"/>
  <c r="K22" i="57"/>
  <c r="K25" i="57"/>
  <c r="V22" i="57"/>
  <c r="V25" i="57"/>
  <c r="V27" i="57" s="1"/>
  <c r="M97" i="57"/>
  <c r="M18" i="57" s="1"/>
  <c r="A9" i="14"/>
  <c r="C33" i="42"/>
  <c r="C36" i="42" s="1"/>
  <c r="C34" i="42" s="1"/>
  <c r="C37" i="42" s="1"/>
  <c r="D33" i="42"/>
  <c r="D36" i="42" s="1"/>
  <c r="D34" i="42" s="1"/>
  <c r="D37" i="42" s="1"/>
  <c r="E33" i="42"/>
  <c r="F33" i="42"/>
  <c r="F36" i="42" s="1"/>
  <c r="F34" i="42" s="1"/>
  <c r="F37" i="42" s="1"/>
  <c r="G33" i="42"/>
  <c r="G36" i="42" s="1"/>
  <c r="G34" i="42" s="1"/>
  <c r="G37" i="42" s="1"/>
  <c r="H33" i="42"/>
  <c r="I33" i="42"/>
  <c r="J33" i="42"/>
  <c r="K33" i="42"/>
  <c r="L33" i="42"/>
  <c r="M33" i="42"/>
  <c r="M36" i="42" s="1"/>
  <c r="M34" i="42" s="1"/>
  <c r="M37" i="42" s="1"/>
  <c r="N33" i="42"/>
  <c r="N36" i="42" s="1"/>
  <c r="N34" i="42" s="1"/>
  <c r="N37" i="42" s="1"/>
  <c r="O33" i="42"/>
  <c r="P33" i="42"/>
  <c r="Q33" i="42"/>
  <c r="R33" i="42"/>
  <c r="R36" i="42" s="1"/>
  <c r="R34" i="42" s="1"/>
  <c r="R37" i="42" s="1"/>
  <c r="S33" i="42"/>
  <c r="S36" i="42" s="1"/>
  <c r="S34" i="42" s="1"/>
  <c r="S37" i="42" s="1"/>
  <c r="T33" i="42"/>
  <c r="T36" i="42" s="1"/>
  <c r="T34" i="42" s="1"/>
  <c r="T37" i="42" s="1"/>
  <c r="U33" i="42"/>
  <c r="V33" i="42"/>
  <c r="V36" i="42" s="1"/>
  <c r="V34" i="42" s="1"/>
  <c r="V37" i="42" s="1"/>
  <c r="W33" i="42"/>
  <c r="W36" i="42" s="1"/>
  <c r="W34" i="42" s="1"/>
  <c r="W37" i="42" s="1"/>
  <c r="X33" i="42"/>
  <c r="Y33" i="42"/>
  <c r="B33" i="42"/>
  <c r="C33" i="50"/>
  <c r="C36" i="50" s="1"/>
  <c r="C34" i="50" s="1"/>
  <c r="C37" i="50" s="1"/>
  <c r="D33" i="50"/>
  <c r="D36" i="50" s="1"/>
  <c r="D34" i="50" s="1"/>
  <c r="D37" i="50" s="1"/>
  <c r="E33" i="50"/>
  <c r="E36" i="50" s="1"/>
  <c r="E34" i="50" s="1"/>
  <c r="E37" i="50" s="1"/>
  <c r="F33" i="50"/>
  <c r="F36" i="50" s="1"/>
  <c r="F34" i="50" s="1"/>
  <c r="F37" i="50" s="1"/>
  <c r="G33" i="50"/>
  <c r="G36" i="50" s="1"/>
  <c r="G34" i="50" s="1"/>
  <c r="G37" i="50" s="1"/>
  <c r="H33" i="50"/>
  <c r="I33" i="50"/>
  <c r="I36" i="50" s="1"/>
  <c r="I34" i="50" s="1"/>
  <c r="I37" i="50" s="1"/>
  <c r="J33" i="50"/>
  <c r="J36" i="50" s="1"/>
  <c r="J34" i="50" s="1"/>
  <c r="J37" i="50" s="1"/>
  <c r="K33" i="50"/>
  <c r="K36" i="50" s="1"/>
  <c r="K34" i="50" s="1"/>
  <c r="K37" i="50" s="1"/>
  <c r="L33" i="50"/>
  <c r="L36" i="50" s="1"/>
  <c r="L34" i="50" s="1"/>
  <c r="L37" i="50" s="1"/>
  <c r="M33" i="50"/>
  <c r="N33" i="50"/>
  <c r="N36" i="50" s="1"/>
  <c r="N34" i="50" s="1"/>
  <c r="N37" i="50" s="1"/>
  <c r="O33" i="50"/>
  <c r="O36" i="50" s="1"/>
  <c r="O34" i="50" s="1"/>
  <c r="O37" i="50" s="1"/>
  <c r="P33" i="50"/>
  <c r="Q33" i="50"/>
  <c r="Q36" i="50" s="1"/>
  <c r="Q34" i="50" s="1"/>
  <c r="Q37" i="50" s="1"/>
  <c r="R33" i="50"/>
  <c r="S33" i="50"/>
  <c r="S36" i="50" s="1"/>
  <c r="S34" i="50" s="1"/>
  <c r="S37" i="50" s="1"/>
  <c r="T33" i="50"/>
  <c r="T36" i="50" s="1"/>
  <c r="T34" i="50" s="1"/>
  <c r="T37" i="50" s="1"/>
  <c r="U33" i="50"/>
  <c r="U36" i="50" s="1"/>
  <c r="U34" i="50" s="1"/>
  <c r="U37" i="50" s="1"/>
  <c r="V33" i="50"/>
  <c r="V36" i="50" s="1"/>
  <c r="V34" i="50" s="1"/>
  <c r="V37" i="50" s="1"/>
  <c r="W33" i="50"/>
  <c r="W36" i="50" s="1"/>
  <c r="W34" i="50" s="1"/>
  <c r="W37" i="50" s="1"/>
  <c r="X33" i="50"/>
  <c r="X36" i="50" s="1"/>
  <c r="X34" i="50" s="1"/>
  <c r="X37" i="50" s="1"/>
  <c r="Y33" i="50"/>
  <c r="Y36" i="50" s="1"/>
  <c r="Y34" i="50" s="1"/>
  <c r="Y37" i="50" s="1"/>
  <c r="Z33" i="50"/>
  <c r="Z36" i="50" s="1"/>
  <c r="Z34" i="50" s="1"/>
  <c r="Z37" i="50" s="1"/>
  <c r="B33" i="50"/>
  <c r="B36" i="50" s="1"/>
  <c r="B34" i="50" s="1"/>
  <c r="B37" i="50" s="1"/>
  <c r="B35" i="48"/>
  <c r="B49" i="48" s="1"/>
  <c r="B51" i="48" s="1"/>
  <c r="C33" i="48"/>
  <c r="C36" i="48" s="1"/>
  <c r="C34" i="48" s="1"/>
  <c r="C37" i="48" s="1"/>
  <c r="D33" i="48"/>
  <c r="D36" i="48" s="1"/>
  <c r="D34" i="48" s="1"/>
  <c r="D37" i="48" s="1"/>
  <c r="E33" i="48"/>
  <c r="E36" i="48" s="1"/>
  <c r="E34" i="48" s="1"/>
  <c r="E37" i="48" s="1"/>
  <c r="F33" i="48"/>
  <c r="F36" i="48" s="1"/>
  <c r="F34" i="48" s="1"/>
  <c r="F37" i="48" s="1"/>
  <c r="G33" i="48"/>
  <c r="H33" i="48"/>
  <c r="I33" i="48"/>
  <c r="J33" i="48"/>
  <c r="J36" i="48" s="1"/>
  <c r="J34" i="48" s="1"/>
  <c r="J37" i="48" s="1"/>
  <c r="K33" i="48"/>
  <c r="K36" i="48" s="1"/>
  <c r="K34" i="48" s="1"/>
  <c r="K37" i="48" s="1"/>
  <c r="L33" i="48"/>
  <c r="M33" i="48"/>
  <c r="N33" i="48"/>
  <c r="N36" i="48" s="1"/>
  <c r="N34" i="48" s="1"/>
  <c r="N37" i="48" s="1"/>
  <c r="O33" i="48"/>
  <c r="O36" i="48" s="1"/>
  <c r="O34" i="48" s="1"/>
  <c r="O37" i="48" s="1"/>
  <c r="P33" i="48"/>
  <c r="P36" i="48" s="1"/>
  <c r="P34" i="48" s="1"/>
  <c r="P37" i="48" s="1"/>
  <c r="Q33" i="48"/>
  <c r="Q36" i="48" s="1"/>
  <c r="Q34" i="48" s="1"/>
  <c r="Q37" i="48" s="1"/>
  <c r="R33" i="48"/>
  <c r="S33" i="48"/>
  <c r="S36" i="48" s="1"/>
  <c r="S34" i="48" s="1"/>
  <c r="S37" i="48" s="1"/>
  <c r="T33" i="48"/>
  <c r="T36" i="48" s="1"/>
  <c r="T34" i="48" s="1"/>
  <c r="T37" i="48" s="1"/>
  <c r="U33" i="48"/>
  <c r="U36" i="48" s="1"/>
  <c r="U34" i="48" s="1"/>
  <c r="U37" i="48" s="1"/>
  <c r="V33" i="48"/>
  <c r="V36" i="48" s="1"/>
  <c r="V34" i="48" s="1"/>
  <c r="V37" i="48" s="1"/>
  <c r="W33" i="48"/>
  <c r="X33" i="48"/>
  <c r="Y33" i="48"/>
  <c r="Z33" i="48"/>
  <c r="Z36" i="48" s="1"/>
  <c r="Z34" i="48" s="1"/>
  <c r="Z37" i="48" s="1"/>
  <c r="B33" i="48"/>
  <c r="B36" i="48" s="1"/>
  <c r="B34" i="48" s="1"/>
  <c r="B37" i="48" s="1"/>
  <c r="N33" i="51"/>
  <c r="M33" i="51"/>
  <c r="L33" i="51"/>
  <c r="K33" i="51"/>
  <c r="J33" i="51"/>
  <c r="J36" i="51" s="1"/>
  <c r="J34" i="51" s="1"/>
  <c r="J37" i="51" s="1"/>
  <c r="I33" i="51"/>
  <c r="I36" i="51" s="1"/>
  <c r="I34" i="51" s="1"/>
  <c r="I37" i="51" s="1"/>
  <c r="H33" i="51"/>
  <c r="H36" i="51" s="1"/>
  <c r="H34" i="51" s="1"/>
  <c r="H37" i="51" s="1"/>
  <c r="G33" i="51"/>
  <c r="F33" i="51"/>
  <c r="F36" i="51" s="1"/>
  <c r="F34" i="51" s="1"/>
  <c r="F37" i="51" s="1"/>
  <c r="E33" i="51"/>
  <c r="D33" i="51"/>
  <c r="D36" i="51" s="1"/>
  <c r="D34" i="51" s="1"/>
  <c r="D37" i="51" s="1"/>
  <c r="C33" i="51"/>
  <c r="B33" i="51"/>
  <c r="AC33" i="49"/>
  <c r="AC36" i="49" s="1"/>
  <c r="AC34" i="49" s="1"/>
  <c r="AC37" i="49" s="1"/>
  <c r="AB33" i="49"/>
  <c r="AB36" i="49" s="1"/>
  <c r="AB34" i="49" s="1"/>
  <c r="AB37" i="49" s="1"/>
  <c r="AA33" i="49"/>
  <c r="AA36" i="49" s="1"/>
  <c r="AA34" i="49" s="1"/>
  <c r="AA37" i="49" s="1"/>
  <c r="Z33" i="49"/>
  <c r="Z36" i="49" s="1"/>
  <c r="Z34" i="49" s="1"/>
  <c r="Z37" i="49" s="1"/>
  <c r="Y33" i="49"/>
  <c r="X33" i="49"/>
  <c r="W33" i="49"/>
  <c r="W36" i="49" s="1"/>
  <c r="W34" i="49" s="1"/>
  <c r="W37" i="49" s="1"/>
  <c r="V33" i="49"/>
  <c r="V36" i="49" s="1"/>
  <c r="V34" i="49" s="1"/>
  <c r="V37" i="49" s="1"/>
  <c r="U33" i="49"/>
  <c r="U36" i="49" s="1"/>
  <c r="U34" i="49" s="1"/>
  <c r="U37" i="49" s="1"/>
  <c r="T33" i="49"/>
  <c r="T36" i="49" s="1"/>
  <c r="T34" i="49" s="1"/>
  <c r="T37" i="49" s="1"/>
  <c r="S33" i="49"/>
  <c r="R33" i="49"/>
  <c r="R36" i="49" s="1"/>
  <c r="R34" i="49" s="1"/>
  <c r="R37" i="49" s="1"/>
  <c r="Q33" i="49"/>
  <c r="P33" i="49"/>
  <c r="O33" i="49"/>
  <c r="N33" i="49"/>
  <c r="N36" i="49" s="1"/>
  <c r="N34" i="49" s="1"/>
  <c r="N37" i="49" s="1"/>
  <c r="M33" i="49"/>
  <c r="M36" i="49" s="1"/>
  <c r="M34" i="49" s="1"/>
  <c r="M37" i="49" s="1"/>
  <c r="L33" i="49"/>
  <c r="L36" i="49" s="1"/>
  <c r="L34" i="49" s="1"/>
  <c r="L37" i="49" s="1"/>
  <c r="K33" i="49"/>
  <c r="K36" i="49" s="1"/>
  <c r="K34" i="49" s="1"/>
  <c r="K37" i="49" s="1"/>
  <c r="J33" i="49"/>
  <c r="J36" i="49" s="1"/>
  <c r="J34" i="49" s="1"/>
  <c r="J37" i="49" s="1"/>
  <c r="I33" i="49"/>
  <c r="H33" i="49"/>
  <c r="G33" i="49"/>
  <c r="G36" i="49" s="1"/>
  <c r="G34" i="49" s="1"/>
  <c r="G37" i="49" s="1"/>
  <c r="F33" i="49"/>
  <c r="F36" i="49" s="1"/>
  <c r="F34" i="49" s="1"/>
  <c r="F37" i="49" s="1"/>
  <c r="E33" i="49"/>
  <c r="E36" i="49" s="1"/>
  <c r="E34" i="49" s="1"/>
  <c r="E37" i="49" s="1"/>
  <c r="D33" i="49"/>
  <c r="D36" i="49" s="1"/>
  <c r="D34" i="49" s="1"/>
  <c r="D37" i="49" s="1"/>
  <c r="C33" i="49"/>
  <c r="B33" i="49"/>
  <c r="B36" i="49" s="1"/>
  <c r="B34" i="49" s="1"/>
  <c r="B37" i="49" s="1"/>
  <c r="AC33" i="44"/>
  <c r="AC36" i="44" s="1"/>
  <c r="AC34" i="44" s="1"/>
  <c r="AC37" i="44" s="1"/>
  <c r="AB33" i="44"/>
  <c r="AB36" i="44" s="1"/>
  <c r="AB34" i="44" s="1"/>
  <c r="AB37" i="44" s="1"/>
  <c r="AA33" i="44"/>
  <c r="Z33" i="44"/>
  <c r="Y33" i="44"/>
  <c r="Y36" i="44" s="1"/>
  <c r="Y34" i="44" s="1"/>
  <c r="Y37" i="44" s="1"/>
  <c r="X33" i="44"/>
  <c r="X36" i="44" s="1"/>
  <c r="X34" i="44" s="1"/>
  <c r="X37" i="44" s="1"/>
  <c r="W33" i="44"/>
  <c r="W36" i="44" s="1"/>
  <c r="W34" i="44" s="1"/>
  <c r="W37" i="44" s="1"/>
  <c r="V33" i="44"/>
  <c r="V36" i="44" s="1"/>
  <c r="V34" i="44" s="1"/>
  <c r="V37" i="44" s="1"/>
  <c r="U33" i="44"/>
  <c r="T33" i="44"/>
  <c r="S33" i="44"/>
  <c r="R33" i="44"/>
  <c r="R36" i="44" s="1"/>
  <c r="R34" i="44" s="1"/>
  <c r="R37" i="44" s="1"/>
  <c r="Q33" i="44"/>
  <c r="Q36" i="44" s="1"/>
  <c r="Q34" i="44" s="1"/>
  <c r="Q37" i="44" s="1"/>
  <c r="P33" i="44"/>
  <c r="O33" i="44"/>
  <c r="N33" i="44"/>
  <c r="N36" i="44" s="1"/>
  <c r="N34" i="44" s="1"/>
  <c r="N37" i="44" s="1"/>
  <c r="M33" i="44"/>
  <c r="M36" i="44" s="1"/>
  <c r="M34" i="44" s="1"/>
  <c r="M37" i="44" s="1"/>
  <c r="L33" i="44"/>
  <c r="L36" i="44" s="1"/>
  <c r="L34" i="44" s="1"/>
  <c r="L37" i="44" s="1"/>
  <c r="K33" i="44"/>
  <c r="J33" i="44"/>
  <c r="I33" i="44"/>
  <c r="I36" i="44" s="1"/>
  <c r="I34" i="44" s="1"/>
  <c r="I37" i="44" s="1"/>
  <c r="H33" i="44"/>
  <c r="H36" i="44" s="1"/>
  <c r="H34" i="44" s="1"/>
  <c r="H37" i="44" s="1"/>
  <c r="G33" i="44"/>
  <c r="G36" i="44" s="1"/>
  <c r="G34" i="44" s="1"/>
  <c r="G37" i="44" s="1"/>
  <c r="F33" i="44"/>
  <c r="F36" i="44" s="1"/>
  <c r="F34" i="44" s="1"/>
  <c r="F37" i="44" s="1"/>
  <c r="E33" i="44"/>
  <c r="D33" i="44"/>
  <c r="C33" i="44"/>
  <c r="B33" i="44"/>
  <c r="B36" i="44" s="1"/>
  <c r="B34" i="44" s="1"/>
  <c r="B37" i="44" s="1"/>
  <c r="D9" i="14"/>
  <c r="E9" i="14" s="1"/>
  <c r="D13" i="14"/>
  <c r="E13" i="14" s="1"/>
  <c r="D12" i="14"/>
  <c r="E12" i="14" s="1"/>
  <c r="D11" i="14"/>
  <c r="E11" i="14" s="1"/>
  <c r="A13" i="14"/>
  <c r="A12" i="14"/>
  <c r="A11" i="14"/>
  <c r="F157" i="51"/>
  <c r="E157" i="51" s="1"/>
  <c r="F158" i="51"/>
  <c r="E158" i="51" s="1"/>
  <c r="F159" i="51"/>
  <c r="E159" i="51" s="1"/>
  <c r="F160" i="51"/>
  <c r="E160" i="51" s="1"/>
  <c r="F161" i="51"/>
  <c r="E161" i="51" s="1"/>
  <c r="F162" i="51"/>
  <c r="E162" i="51" s="1"/>
  <c r="F163" i="51"/>
  <c r="E163" i="51" s="1"/>
  <c r="F164" i="51"/>
  <c r="E164" i="51" s="1"/>
  <c r="F165" i="51"/>
  <c r="E165" i="51" s="1"/>
  <c r="F166" i="51"/>
  <c r="E166" i="51" s="1"/>
  <c r="F167" i="51"/>
  <c r="E167" i="51" s="1"/>
  <c r="F156" i="51"/>
  <c r="E156" i="51" s="1"/>
  <c r="F153" i="51"/>
  <c r="E153" i="51" s="1"/>
  <c r="F154" i="51"/>
  <c r="E154" i="51" s="1"/>
  <c r="F152" i="51"/>
  <c r="E152" i="51" s="1"/>
  <c r="F161" i="42"/>
  <c r="E161" i="42" s="1"/>
  <c r="F160" i="42"/>
  <c r="E160" i="42" s="1"/>
  <c r="F159" i="42"/>
  <c r="E159" i="42" s="1"/>
  <c r="F158" i="42"/>
  <c r="E158" i="42" s="1"/>
  <c r="F161" i="44"/>
  <c r="E161" i="44" s="1"/>
  <c r="F160" i="44"/>
  <c r="E160" i="44" s="1"/>
  <c r="F159" i="44"/>
  <c r="E159" i="44" s="1"/>
  <c r="F158" i="44"/>
  <c r="E158" i="44" s="1"/>
  <c r="F161" i="49"/>
  <c r="E161" i="49" s="1"/>
  <c r="F160" i="49"/>
  <c r="E160" i="49" s="1"/>
  <c r="F159" i="49"/>
  <c r="E159" i="49" s="1"/>
  <c r="F158" i="49"/>
  <c r="E158" i="49" s="1"/>
  <c r="F161" i="48"/>
  <c r="E161" i="48" s="1"/>
  <c r="F160" i="48"/>
  <c r="E160" i="48" s="1"/>
  <c r="F159" i="48"/>
  <c r="E159" i="48" s="1"/>
  <c r="F158" i="48"/>
  <c r="E158" i="48" s="1"/>
  <c r="F158" i="50"/>
  <c r="E158" i="50" s="1"/>
  <c r="F159" i="50"/>
  <c r="E159" i="50" s="1"/>
  <c r="F160" i="50"/>
  <c r="E160" i="50" s="1"/>
  <c r="F161" i="50"/>
  <c r="E161" i="50" s="1"/>
  <c r="B139" i="50"/>
  <c r="B139" i="42"/>
  <c r="B139" i="48"/>
  <c r="B139" i="44"/>
  <c r="B139" i="49"/>
  <c r="B139" i="51"/>
  <c r="D7" i="14"/>
  <c r="E7" i="14" s="1"/>
  <c r="D6" i="14"/>
  <c r="E6" i="14" s="1"/>
  <c r="D5" i="14"/>
  <c r="E5" i="14" s="1"/>
  <c r="D4" i="14"/>
  <c r="E4" i="14" s="1"/>
  <c r="D3" i="14"/>
  <c r="E3" i="14" s="1"/>
  <c r="D2" i="14"/>
  <c r="E2" i="14" s="1"/>
  <c r="A7" i="14"/>
  <c r="A6" i="14"/>
  <c r="A5" i="14"/>
  <c r="A4" i="14"/>
  <c r="A3" i="14"/>
  <c r="A2" i="14"/>
  <c r="B100" i="51" a="1"/>
  <c r="B100" i="51" s="1"/>
  <c r="I97" i="51"/>
  <c r="H97" i="51"/>
  <c r="G97" i="51"/>
  <c r="C97" i="51"/>
  <c r="B97" i="51"/>
  <c r="N80" i="51"/>
  <c r="M80" i="51"/>
  <c r="L80" i="51"/>
  <c r="K80" i="51"/>
  <c r="J80" i="51"/>
  <c r="I80" i="51"/>
  <c r="H80" i="51"/>
  <c r="G80" i="51"/>
  <c r="F80" i="51"/>
  <c r="E80" i="51"/>
  <c r="D80" i="51"/>
  <c r="C80" i="51"/>
  <c r="B80" i="51"/>
  <c r="A80" i="51"/>
  <c r="N79" i="51"/>
  <c r="M79" i="51"/>
  <c r="L79" i="51"/>
  <c r="K79" i="51"/>
  <c r="J79" i="51"/>
  <c r="I79" i="51"/>
  <c r="H79" i="51"/>
  <c r="G79" i="51"/>
  <c r="F79" i="51"/>
  <c r="E79" i="51"/>
  <c r="D79" i="51"/>
  <c r="C79" i="51"/>
  <c r="B79" i="51"/>
  <c r="A79" i="51"/>
  <c r="N78" i="51"/>
  <c r="M78" i="51"/>
  <c r="L78" i="51"/>
  <c r="K78" i="51"/>
  <c r="J78" i="51"/>
  <c r="I78" i="51"/>
  <c r="H78" i="51"/>
  <c r="G78" i="51"/>
  <c r="F78" i="51"/>
  <c r="E78" i="51"/>
  <c r="D78" i="51"/>
  <c r="C78" i="51"/>
  <c r="B78" i="51"/>
  <c r="A78" i="51"/>
  <c r="N77" i="51"/>
  <c r="M77" i="51"/>
  <c r="L77" i="51"/>
  <c r="K77" i="51"/>
  <c r="J77" i="51"/>
  <c r="I77" i="51"/>
  <c r="H77" i="51"/>
  <c r="G77" i="51"/>
  <c r="F77" i="51"/>
  <c r="E77" i="51"/>
  <c r="D77" i="51"/>
  <c r="C77" i="51"/>
  <c r="B77" i="51"/>
  <c r="A77" i="51"/>
  <c r="N76" i="51"/>
  <c r="M76" i="51"/>
  <c r="L76" i="51"/>
  <c r="K76" i="51"/>
  <c r="J76" i="51"/>
  <c r="I76" i="51"/>
  <c r="H76" i="51"/>
  <c r="G76" i="51"/>
  <c r="F76" i="51"/>
  <c r="E76" i="51"/>
  <c r="D76" i="51"/>
  <c r="C76" i="51"/>
  <c r="B76" i="51"/>
  <c r="A76" i="51"/>
  <c r="N75" i="51"/>
  <c r="M75" i="51"/>
  <c r="L75" i="51"/>
  <c r="K75" i="51"/>
  <c r="J75" i="51"/>
  <c r="I75" i="51"/>
  <c r="H75" i="51"/>
  <c r="G75" i="51"/>
  <c r="F75" i="51"/>
  <c r="E75" i="51"/>
  <c r="D75" i="51"/>
  <c r="C75" i="51"/>
  <c r="B75" i="51"/>
  <c r="A75" i="51"/>
  <c r="N74" i="51"/>
  <c r="M74" i="51"/>
  <c r="L74" i="51"/>
  <c r="K74" i="51"/>
  <c r="J74" i="51"/>
  <c r="I74" i="51"/>
  <c r="H74" i="51"/>
  <c r="G74" i="51"/>
  <c r="F74" i="51"/>
  <c r="E74" i="51"/>
  <c r="D74" i="51"/>
  <c r="C74" i="51"/>
  <c r="B74" i="51"/>
  <c r="A74" i="51"/>
  <c r="A73" i="51"/>
  <c r="N72" i="51"/>
  <c r="M72" i="51"/>
  <c r="L72" i="51"/>
  <c r="K72" i="51"/>
  <c r="J72" i="51"/>
  <c r="I72" i="51"/>
  <c r="H72" i="51"/>
  <c r="G72" i="51"/>
  <c r="F72" i="51"/>
  <c r="E72" i="51"/>
  <c r="D72" i="51"/>
  <c r="C72" i="51"/>
  <c r="B72" i="51"/>
  <c r="A72" i="51"/>
  <c r="N71" i="51"/>
  <c r="M71" i="51"/>
  <c r="L71" i="51"/>
  <c r="K71" i="51"/>
  <c r="J71" i="51"/>
  <c r="I71" i="51"/>
  <c r="H71" i="51"/>
  <c r="G71" i="51"/>
  <c r="F71" i="51"/>
  <c r="E71" i="51"/>
  <c r="D71" i="51"/>
  <c r="C71" i="51"/>
  <c r="B71" i="51"/>
  <c r="A71" i="51"/>
  <c r="N70" i="51"/>
  <c r="M70" i="51"/>
  <c r="L70" i="51"/>
  <c r="K70" i="51"/>
  <c r="J70" i="51"/>
  <c r="I70" i="51"/>
  <c r="H70" i="51"/>
  <c r="G70" i="51"/>
  <c r="F70" i="51"/>
  <c r="E70" i="51"/>
  <c r="D70" i="51"/>
  <c r="C70" i="51"/>
  <c r="B70" i="51"/>
  <c r="A70" i="51"/>
  <c r="N69" i="51"/>
  <c r="M69" i="51"/>
  <c r="L69" i="51"/>
  <c r="K69" i="51"/>
  <c r="J69" i="51"/>
  <c r="I69" i="51"/>
  <c r="H69" i="51"/>
  <c r="G69" i="51"/>
  <c r="F69" i="51"/>
  <c r="E69" i="51"/>
  <c r="D69" i="51"/>
  <c r="C69" i="51"/>
  <c r="B69" i="51"/>
  <c r="A69" i="51"/>
  <c r="AG52" i="51"/>
  <c r="AG34" i="51"/>
  <c r="M36" i="51"/>
  <c r="M34" i="51" s="1"/>
  <c r="M37" i="51" s="1"/>
  <c r="L36" i="51"/>
  <c r="L34" i="51" s="1"/>
  <c r="L37" i="51" s="1"/>
  <c r="K36" i="51"/>
  <c r="K34" i="51" s="1"/>
  <c r="K37" i="51" s="1"/>
  <c r="G36" i="51"/>
  <c r="G34" i="51" s="1"/>
  <c r="G37" i="51" s="1"/>
  <c r="E36" i="51"/>
  <c r="E34" i="51" s="1"/>
  <c r="E37" i="51" s="1"/>
  <c r="B36" i="51"/>
  <c r="B34" i="51" s="1"/>
  <c r="B37" i="51" s="1"/>
  <c r="I30" i="51"/>
  <c r="H30" i="51"/>
  <c r="G30" i="51"/>
  <c r="C30" i="51"/>
  <c r="B30" i="51"/>
  <c r="I26" i="51"/>
  <c r="H26" i="51"/>
  <c r="G26" i="51"/>
  <c r="C26" i="51"/>
  <c r="B26" i="51"/>
  <c r="N24" i="51"/>
  <c r="M24" i="51"/>
  <c r="L24" i="51"/>
  <c r="K24" i="51"/>
  <c r="J24" i="51"/>
  <c r="F24" i="51"/>
  <c r="E24" i="51"/>
  <c r="D24" i="51"/>
  <c r="N19" i="51"/>
  <c r="M18" i="51"/>
  <c r="L18" i="51"/>
  <c r="K18" i="51"/>
  <c r="J18" i="51"/>
  <c r="I18" i="51"/>
  <c r="H18" i="51"/>
  <c r="G18" i="51"/>
  <c r="F18" i="51"/>
  <c r="E18" i="51"/>
  <c r="D18" i="51"/>
  <c r="C18" i="51"/>
  <c r="B18" i="51"/>
  <c r="B4" i="51"/>
  <c r="B11" i="51" s="1"/>
  <c r="N30" i="51" s="1"/>
  <c r="K35" i="51"/>
  <c r="K58" i="51" s="1"/>
  <c r="C36" i="51"/>
  <c r="C34" i="51" s="1"/>
  <c r="C37" i="51" s="1"/>
  <c r="C35" i="51"/>
  <c r="I35" i="51"/>
  <c r="I62" i="51" s="1"/>
  <c r="N36" i="51"/>
  <c r="N34" i="51" s="1"/>
  <c r="N37" i="51" s="1"/>
  <c r="N35" i="51"/>
  <c r="H35" i="51"/>
  <c r="H56" i="51" s="1"/>
  <c r="B35" i="51"/>
  <c r="B62" i="51" s="1"/>
  <c r="B164" i="51" s="1"/>
  <c r="J35" i="51"/>
  <c r="J50" i="51" s="1"/>
  <c r="J52" i="51" s="1"/>
  <c r="D35" i="51"/>
  <c r="D61" i="51" s="1"/>
  <c r="L35" i="51"/>
  <c r="L62" i="51" s="1"/>
  <c r="E35" i="51"/>
  <c r="E58" i="51" s="1"/>
  <c r="M35" i="51"/>
  <c r="M63" i="51" s="1"/>
  <c r="F35" i="51"/>
  <c r="F60" i="51" s="1"/>
  <c r="G35" i="51"/>
  <c r="G57" i="51" s="1"/>
  <c r="K54" i="51"/>
  <c r="K62" i="51"/>
  <c r="K59" i="51"/>
  <c r="K65" i="51"/>
  <c r="K60" i="51"/>
  <c r="N52" i="51"/>
  <c r="F155" i="51" s="1"/>
  <c r="E155" i="51" s="1"/>
  <c r="N67" i="51"/>
  <c r="N66" i="51"/>
  <c r="B100" i="50" a="1"/>
  <c r="B100" i="50" s="1"/>
  <c r="Y94" i="50" s="1"/>
  <c r="Y97" i="50"/>
  <c r="X97" i="50"/>
  <c r="W97" i="50"/>
  <c r="V97" i="50"/>
  <c r="U97" i="50"/>
  <c r="T97" i="50"/>
  <c r="Z80" i="50"/>
  <c r="Y80" i="50"/>
  <c r="X80" i="50"/>
  <c r="W80" i="50"/>
  <c r="V80" i="50"/>
  <c r="U80" i="50"/>
  <c r="T80" i="50"/>
  <c r="S80" i="50"/>
  <c r="R80" i="50"/>
  <c r="Q80" i="50"/>
  <c r="P80" i="50"/>
  <c r="O80" i="50"/>
  <c r="N80" i="50"/>
  <c r="M80" i="50"/>
  <c r="L80" i="50"/>
  <c r="K80" i="50"/>
  <c r="J80" i="50"/>
  <c r="I80" i="50"/>
  <c r="H80" i="50"/>
  <c r="G80" i="50"/>
  <c r="F80" i="50"/>
  <c r="E80" i="50"/>
  <c r="D80" i="50"/>
  <c r="C80" i="50"/>
  <c r="B80" i="50"/>
  <c r="A80" i="50"/>
  <c r="Z79" i="50"/>
  <c r="Y79" i="50"/>
  <c r="X79" i="50"/>
  <c r="W79" i="50"/>
  <c r="V79" i="50"/>
  <c r="U79" i="50"/>
  <c r="T79" i="50"/>
  <c r="S79" i="50"/>
  <c r="R79" i="50"/>
  <c r="Q79" i="50"/>
  <c r="P79" i="50"/>
  <c r="O79" i="50"/>
  <c r="N79" i="50"/>
  <c r="M79" i="50"/>
  <c r="L79" i="50"/>
  <c r="K79" i="50"/>
  <c r="J79" i="50"/>
  <c r="I79" i="50"/>
  <c r="H79" i="50"/>
  <c r="G79" i="50"/>
  <c r="F79" i="50"/>
  <c r="E79" i="50"/>
  <c r="D79" i="50"/>
  <c r="C79" i="50"/>
  <c r="B79" i="50"/>
  <c r="A79" i="50"/>
  <c r="Z78" i="50"/>
  <c r="Y78" i="50"/>
  <c r="X78" i="50"/>
  <c r="W78" i="50"/>
  <c r="V78" i="50"/>
  <c r="U78" i="50"/>
  <c r="T78" i="50"/>
  <c r="S78" i="50"/>
  <c r="R78" i="50"/>
  <c r="Q78" i="50"/>
  <c r="P78" i="50"/>
  <c r="O78" i="50"/>
  <c r="N78" i="50"/>
  <c r="M78" i="50"/>
  <c r="L78" i="50"/>
  <c r="K78" i="50"/>
  <c r="J78" i="50"/>
  <c r="I78" i="50"/>
  <c r="H78" i="50"/>
  <c r="G78" i="50"/>
  <c r="F78" i="50"/>
  <c r="E78" i="50"/>
  <c r="D78" i="50"/>
  <c r="C78" i="50"/>
  <c r="B78" i="50"/>
  <c r="A78" i="50"/>
  <c r="Z77" i="50"/>
  <c r="Y77" i="50"/>
  <c r="X77" i="50"/>
  <c r="W77" i="50"/>
  <c r="V77" i="50"/>
  <c r="U77" i="50"/>
  <c r="T77" i="50"/>
  <c r="S77" i="50"/>
  <c r="R77" i="50"/>
  <c r="Q77" i="50"/>
  <c r="P77" i="50"/>
  <c r="O77" i="50"/>
  <c r="N77" i="50"/>
  <c r="M77" i="50"/>
  <c r="L77" i="50"/>
  <c r="K77" i="50"/>
  <c r="J77" i="50"/>
  <c r="I77" i="50"/>
  <c r="H77" i="50"/>
  <c r="G77" i="50"/>
  <c r="F77" i="50"/>
  <c r="E77" i="50"/>
  <c r="D77" i="50"/>
  <c r="C77" i="50"/>
  <c r="B77" i="50"/>
  <c r="A77" i="50"/>
  <c r="Z76" i="50"/>
  <c r="Y76" i="50"/>
  <c r="X76" i="50"/>
  <c r="W76" i="50"/>
  <c r="V76" i="50"/>
  <c r="U76" i="50"/>
  <c r="T76" i="50"/>
  <c r="S76" i="50"/>
  <c r="R76" i="50"/>
  <c r="Q76" i="50"/>
  <c r="P76" i="50"/>
  <c r="O76" i="50"/>
  <c r="N76" i="50"/>
  <c r="M76" i="50"/>
  <c r="L76" i="50"/>
  <c r="K76" i="50"/>
  <c r="J76" i="50"/>
  <c r="I76" i="50"/>
  <c r="H76" i="50"/>
  <c r="G76" i="50"/>
  <c r="F76" i="50"/>
  <c r="E76" i="50"/>
  <c r="D76" i="50"/>
  <c r="C76" i="50"/>
  <c r="B76" i="50"/>
  <c r="A76" i="50"/>
  <c r="Z75" i="50"/>
  <c r="Y75" i="50"/>
  <c r="X75" i="50"/>
  <c r="W75" i="50"/>
  <c r="V75" i="50"/>
  <c r="U75" i="50"/>
  <c r="T75" i="50"/>
  <c r="S75" i="50"/>
  <c r="R75" i="50"/>
  <c r="Q75" i="50"/>
  <c r="P75" i="50"/>
  <c r="O75" i="50"/>
  <c r="N75" i="50"/>
  <c r="M75" i="50"/>
  <c r="L75" i="50"/>
  <c r="K75" i="50"/>
  <c r="J75" i="50"/>
  <c r="I75" i="50"/>
  <c r="H75" i="50"/>
  <c r="G75" i="50"/>
  <c r="F75" i="50"/>
  <c r="E75" i="50"/>
  <c r="D75" i="50"/>
  <c r="C75" i="50"/>
  <c r="B75" i="50"/>
  <c r="A75" i="50"/>
  <c r="Z74" i="50"/>
  <c r="Y74" i="50"/>
  <c r="X74" i="50"/>
  <c r="W74" i="50"/>
  <c r="V74" i="50"/>
  <c r="U74" i="50"/>
  <c r="T74" i="50"/>
  <c r="S74" i="50"/>
  <c r="R74" i="50"/>
  <c r="Q74" i="50"/>
  <c r="P74" i="50"/>
  <c r="O74" i="50"/>
  <c r="N74" i="50"/>
  <c r="M74" i="50"/>
  <c r="L74" i="50"/>
  <c r="K74" i="50"/>
  <c r="J74" i="50"/>
  <c r="I74" i="50"/>
  <c r="H74" i="50"/>
  <c r="G74" i="50"/>
  <c r="F74" i="50"/>
  <c r="E74" i="50"/>
  <c r="D74" i="50"/>
  <c r="C74" i="50"/>
  <c r="B74" i="50"/>
  <c r="A74" i="50"/>
  <c r="A73" i="50"/>
  <c r="Z72" i="50"/>
  <c r="Y72" i="50"/>
  <c r="X72" i="50"/>
  <c r="W72" i="50"/>
  <c r="V72" i="50"/>
  <c r="U72" i="50"/>
  <c r="T72" i="50"/>
  <c r="S72" i="50"/>
  <c r="R72" i="50"/>
  <c r="Q72" i="50"/>
  <c r="P72" i="50"/>
  <c r="O72" i="50"/>
  <c r="N72" i="50"/>
  <c r="M72" i="50"/>
  <c r="L72" i="50"/>
  <c r="K72" i="50"/>
  <c r="J72" i="50"/>
  <c r="I72" i="50"/>
  <c r="H72" i="50"/>
  <c r="G72" i="50"/>
  <c r="F72" i="50"/>
  <c r="E72" i="50"/>
  <c r="D72" i="50"/>
  <c r="A72" i="50"/>
  <c r="A71" i="50"/>
  <c r="Z70" i="50"/>
  <c r="Y70" i="50"/>
  <c r="X70" i="50"/>
  <c r="W70" i="50"/>
  <c r="V70" i="50"/>
  <c r="U70" i="50"/>
  <c r="T70" i="50"/>
  <c r="S70" i="50"/>
  <c r="R70" i="50"/>
  <c r="Q70" i="50"/>
  <c r="P70" i="50"/>
  <c r="O70" i="50"/>
  <c r="N70" i="50"/>
  <c r="M70" i="50"/>
  <c r="L70" i="50"/>
  <c r="K70" i="50"/>
  <c r="J70" i="50"/>
  <c r="I70" i="50"/>
  <c r="H70" i="50"/>
  <c r="G70" i="50"/>
  <c r="F70" i="50"/>
  <c r="E70" i="50"/>
  <c r="D70" i="50"/>
  <c r="A70" i="50"/>
  <c r="Z69" i="50"/>
  <c r="Z71" i="50" s="1"/>
  <c r="Y69" i="50"/>
  <c r="Y71" i="50" s="1"/>
  <c r="X69" i="50"/>
  <c r="X71" i="50" s="1"/>
  <c r="W69" i="50"/>
  <c r="W71" i="50" s="1"/>
  <c r="V69" i="50"/>
  <c r="V71" i="50" s="1"/>
  <c r="U69" i="50"/>
  <c r="U71" i="50" s="1"/>
  <c r="T69" i="50"/>
  <c r="T71" i="50" s="1"/>
  <c r="S69" i="50"/>
  <c r="S71" i="50" s="1"/>
  <c r="R69" i="50"/>
  <c r="R71" i="50" s="1"/>
  <c r="Q69" i="50"/>
  <c r="Q71" i="50" s="1"/>
  <c r="P69" i="50"/>
  <c r="P71" i="50" s="1"/>
  <c r="O69" i="50"/>
  <c r="O71" i="50" s="1"/>
  <c r="N69" i="50"/>
  <c r="N71" i="50" s="1"/>
  <c r="M69" i="50"/>
  <c r="M71" i="50" s="1"/>
  <c r="L69" i="50"/>
  <c r="L71" i="50" s="1"/>
  <c r="K69" i="50"/>
  <c r="K71" i="50" s="1"/>
  <c r="J69" i="50"/>
  <c r="J71" i="50" s="1"/>
  <c r="I69" i="50"/>
  <c r="I71" i="50" s="1"/>
  <c r="H69" i="50"/>
  <c r="H71" i="50" s="1"/>
  <c r="G69" i="50"/>
  <c r="G71" i="50" s="1"/>
  <c r="F69" i="50"/>
  <c r="F71" i="50" s="1"/>
  <c r="E69" i="50"/>
  <c r="E71" i="50" s="1"/>
  <c r="D69" i="50"/>
  <c r="D71" i="50" s="1"/>
  <c r="C69" i="50"/>
  <c r="C71" i="50" s="1"/>
  <c r="B69" i="50"/>
  <c r="B71" i="50" s="1"/>
  <c r="A69" i="50"/>
  <c r="AG52" i="50"/>
  <c r="W35" i="50"/>
  <c r="W54" i="50" s="1"/>
  <c r="P35" i="50"/>
  <c r="P63" i="50" s="1"/>
  <c r="P36" i="50"/>
  <c r="P34" i="50" s="1"/>
  <c r="P37" i="50" s="1"/>
  <c r="AG34" i="50"/>
  <c r="U35" i="50"/>
  <c r="U62" i="50" s="1"/>
  <c r="T35" i="50"/>
  <c r="T50" i="50" s="1"/>
  <c r="T52" i="50" s="1"/>
  <c r="S35" i="50"/>
  <c r="S60" i="50" s="1"/>
  <c r="R35" i="50"/>
  <c r="R50" i="50" s="1"/>
  <c r="R52" i="50" s="1"/>
  <c r="Q35" i="50"/>
  <c r="Q61" i="50" s="1"/>
  <c r="C163" i="50" s="1"/>
  <c r="D163" i="50" s="1"/>
  <c r="R36" i="50"/>
  <c r="R34" i="50" s="1"/>
  <c r="R37" i="50" s="1"/>
  <c r="W30" i="50"/>
  <c r="V30" i="50"/>
  <c r="U30" i="50"/>
  <c r="T30" i="50"/>
  <c r="S30" i="50"/>
  <c r="R30" i="50"/>
  <c r="Q30" i="50"/>
  <c r="W26" i="50"/>
  <c r="V26" i="50"/>
  <c r="U26" i="50"/>
  <c r="T26" i="50"/>
  <c r="S26" i="50"/>
  <c r="R26" i="50"/>
  <c r="Q26" i="50"/>
  <c r="Z24" i="50"/>
  <c r="Y24" i="50"/>
  <c r="X24" i="50"/>
  <c r="W24" i="50"/>
  <c r="P24" i="50"/>
  <c r="O24" i="50"/>
  <c r="N24" i="50"/>
  <c r="M24" i="50"/>
  <c r="L24" i="50"/>
  <c r="K24" i="50"/>
  <c r="J24" i="50"/>
  <c r="I24" i="50"/>
  <c r="H24" i="50"/>
  <c r="G24" i="50"/>
  <c r="F24" i="50"/>
  <c r="E24" i="50"/>
  <c r="D24" i="50"/>
  <c r="C24" i="50"/>
  <c r="B24" i="50"/>
  <c r="Z19" i="50"/>
  <c r="Y18" i="50"/>
  <c r="X18" i="50"/>
  <c r="W18" i="50"/>
  <c r="V18" i="50"/>
  <c r="U18" i="50"/>
  <c r="T18" i="50"/>
  <c r="S18" i="50"/>
  <c r="R18" i="50"/>
  <c r="Q18" i="50"/>
  <c r="P18" i="50"/>
  <c r="O18" i="50"/>
  <c r="N18" i="50"/>
  <c r="M18" i="50"/>
  <c r="B4" i="50"/>
  <c r="W55" i="50"/>
  <c r="P54" i="50"/>
  <c r="U57" i="50"/>
  <c r="P57" i="50"/>
  <c r="B35" i="50"/>
  <c r="B50" i="50" s="1"/>
  <c r="B52" i="50" s="1"/>
  <c r="E35" i="50"/>
  <c r="E63" i="50" s="1"/>
  <c r="F165" i="50" s="1"/>
  <c r="E165" i="50" s="1"/>
  <c r="I35" i="50"/>
  <c r="M35" i="50"/>
  <c r="M49" i="50" s="1"/>
  <c r="M51" i="50" s="1"/>
  <c r="V35" i="50"/>
  <c r="V63" i="50" s="1"/>
  <c r="Y35" i="50"/>
  <c r="Y62" i="50" s="1"/>
  <c r="J35" i="50"/>
  <c r="J56" i="50" s="1"/>
  <c r="M36" i="50"/>
  <c r="M34" i="50" s="1"/>
  <c r="M37" i="50" s="1"/>
  <c r="H35" i="50"/>
  <c r="H60" i="50" s="1"/>
  <c r="H36" i="50"/>
  <c r="H34" i="50" s="1"/>
  <c r="H37" i="50" s="1"/>
  <c r="C35" i="50"/>
  <c r="C50" i="50" s="1"/>
  <c r="C52" i="50" s="1"/>
  <c r="Z35" i="50"/>
  <c r="Z50" i="50" s="1"/>
  <c r="K35" i="50"/>
  <c r="K62" i="50" s="1"/>
  <c r="D35" i="50"/>
  <c r="D65" i="50" s="1"/>
  <c r="L35" i="50"/>
  <c r="L54" i="50" s="1"/>
  <c r="F35" i="50"/>
  <c r="F60" i="50" s="1"/>
  <c r="N35" i="50"/>
  <c r="N57" i="50" s="1"/>
  <c r="X35" i="50"/>
  <c r="X49" i="50" s="1"/>
  <c r="X51" i="50" s="1"/>
  <c r="G35" i="50"/>
  <c r="O35" i="50"/>
  <c r="O62" i="50" s="1"/>
  <c r="E49" i="50"/>
  <c r="F152" i="50" s="1"/>
  <c r="E152" i="50" s="1"/>
  <c r="K57" i="50"/>
  <c r="K49" i="50"/>
  <c r="K51" i="50" s="1"/>
  <c r="C65" i="50"/>
  <c r="B100" i="49" a="1"/>
  <c r="B100" i="49" s="1"/>
  <c r="W97" i="49"/>
  <c r="V97" i="49"/>
  <c r="U97" i="49"/>
  <c r="T97" i="49"/>
  <c r="S97" i="49"/>
  <c r="R97" i="49"/>
  <c r="AC80" i="49"/>
  <c r="AB80" i="49"/>
  <c r="AA80" i="49"/>
  <c r="Z80" i="49"/>
  <c r="Y80" i="49"/>
  <c r="X80" i="49"/>
  <c r="W80" i="49"/>
  <c r="V80" i="49"/>
  <c r="U80" i="49"/>
  <c r="T80" i="49"/>
  <c r="S80" i="49"/>
  <c r="R80" i="49"/>
  <c r="Q80" i="49"/>
  <c r="P80" i="49"/>
  <c r="O80" i="49"/>
  <c r="N80" i="49"/>
  <c r="M80" i="49"/>
  <c r="L80" i="49"/>
  <c r="K80" i="49"/>
  <c r="J80" i="49"/>
  <c r="I80" i="49"/>
  <c r="H80" i="49"/>
  <c r="G80" i="49"/>
  <c r="F80" i="49"/>
  <c r="E80" i="49"/>
  <c r="D80" i="49"/>
  <c r="C80" i="49"/>
  <c r="B80" i="49"/>
  <c r="A80" i="49"/>
  <c r="AC79" i="49"/>
  <c r="AB79" i="49"/>
  <c r="AA79" i="49"/>
  <c r="Z79" i="49"/>
  <c r="Y79" i="49"/>
  <c r="X79" i="49"/>
  <c r="W79" i="49"/>
  <c r="V79" i="49"/>
  <c r="U79" i="49"/>
  <c r="T79" i="49"/>
  <c r="S79" i="49"/>
  <c r="R79" i="49"/>
  <c r="Q79" i="49"/>
  <c r="P79" i="49"/>
  <c r="O79" i="49"/>
  <c r="N79" i="49"/>
  <c r="M79" i="49"/>
  <c r="L79" i="49"/>
  <c r="K79" i="49"/>
  <c r="J79" i="49"/>
  <c r="I79" i="49"/>
  <c r="H79" i="49"/>
  <c r="G79" i="49"/>
  <c r="F79" i="49"/>
  <c r="E79" i="49"/>
  <c r="D79" i="49"/>
  <c r="C79" i="49"/>
  <c r="B79" i="49"/>
  <c r="AC78" i="49"/>
  <c r="AB78" i="49"/>
  <c r="AA78" i="49"/>
  <c r="Z78" i="49"/>
  <c r="Y78" i="49"/>
  <c r="X78" i="49"/>
  <c r="W78" i="49"/>
  <c r="V78" i="49"/>
  <c r="U78" i="49"/>
  <c r="T78" i="49"/>
  <c r="S78" i="49"/>
  <c r="R78" i="49"/>
  <c r="Q78" i="49"/>
  <c r="P78" i="49"/>
  <c r="O78" i="49"/>
  <c r="N78" i="49"/>
  <c r="M78" i="49"/>
  <c r="L78" i="49"/>
  <c r="K78" i="49"/>
  <c r="J78" i="49"/>
  <c r="I78" i="49"/>
  <c r="H78" i="49"/>
  <c r="G78" i="49"/>
  <c r="F78" i="49"/>
  <c r="E78" i="49"/>
  <c r="D78" i="49"/>
  <c r="C78" i="49"/>
  <c r="B78" i="49"/>
  <c r="A78" i="49"/>
  <c r="AC77" i="49"/>
  <c r="AB77" i="49"/>
  <c r="AA77" i="49"/>
  <c r="Z77" i="49"/>
  <c r="Y77" i="49"/>
  <c r="X77" i="49"/>
  <c r="W77" i="49"/>
  <c r="V77" i="49"/>
  <c r="U77" i="49"/>
  <c r="T77" i="49"/>
  <c r="S77" i="49"/>
  <c r="R77" i="49"/>
  <c r="Q77" i="49"/>
  <c r="P77" i="49"/>
  <c r="O77" i="49"/>
  <c r="N77" i="49"/>
  <c r="M77" i="49"/>
  <c r="L77" i="49"/>
  <c r="K77" i="49"/>
  <c r="J77" i="49"/>
  <c r="I77" i="49"/>
  <c r="H77" i="49"/>
  <c r="G77" i="49"/>
  <c r="F77" i="49"/>
  <c r="E77" i="49"/>
  <c r="D77" i="49"/>
  <c r="C77" i="49"/>
  <c r="B77" i="49"/>
  <c r="A77" i="49"/>
  <c r="AC76" i="49"/>
  <c r="AB76" i="49"/>
  <c r="AA76" i="49"/>
  <c r="Z76" i="49"/>
  <c r="Y76" i="49"/>
  <c r="X76" i="49"/>
  <c r="W76" i="49"/>
  <c r="V76" i="49"/>
  <c r="U76" i="49"/>
  <c r="T76" i="49"/>
  <c r="S76" i="49"/>
  <c r="R76" i="49"/>
  <c r="Q76" i="49"/>
  <c r="P76" i="49"/>
  <c r="O76" i="49"/>
  <c r="N76" i="49"/>
  <c r="M76" i="49"/>
  <c r="L76" i="49"/>
  <c r="K76" i="49"/>
  <c r="J76" i="49"/>
  <c r="I76" i="49"/>
  <c r="H76" i="49"/>
  <c r="G76" i="49"/>
  <c r="F76" i="49"/>
  <c r="E76" i="49"/>
  <c r="D76" i="49"/>
  <c r="C76" i="49"/>
  <c r="B76" i="49"/>
  <c r="A76" i="49"/>
  <c r="AC75" i="49"/>
  <c r="AB75" i="49"/>
  <c r="AA75" i="49"/>
  <c r="Z75" i="49"/>
  <c r="Y75" i="49"/>
  <c r="X75" i="49"/>
  <c r="W75" i="49"/>
  <c r="V75" i="49"/>
  <c r="U75" i="49"/>
  <c r="T75" i="49"/>
  <c r="S75" i="49"/>
  <c r="R75" i="49"/>
  <c r="Q75" i="49"/>
  <c r="P75" i="49"/>
  <c r="O75" i="49"/>
  <c r="N75" i="49"/>
  <c r="M75" i="49"/>
  <c r="L75" i="49"/>
  <c r="K75" i="49"/>
  <c r="J75" i="49"/>
  <c r="I75" i="49"/>
  <c r="H75" i="49"/>
  <c r="G75" i="49"/>
  <c r="F75" i="49"/>
  <c r="E75" i="49"/>
  <c r="D75" i="49"/>
  <c r="C75" i="49"/>
  <c r="B75" i="49"/>
  <c r="A75" i="49"/>
  <c r="AC74" i="49"/>
  <c r="AB74" i="49"/>
  <c r="AA74" i="49"/>
  <c r="Z74" i="49"/>
  <c r="Y74" i="49"/>
  <c r="X74" i="49"/>
  <c r="W74" i="49"/>
  <c r="V74" i="49"/>
  <c r="U74" i="49"/>
  <c r="T74" i="49"/>
  <c r="S74" i="49"/>
  <c r="R74" i="49"/>
  <c r="Q74" i="49"/>
  <c r="P74" i="49"/>
  <c r="O74" i="49"/>
  <c r="N74" i="49"/>
  <c r="M74" i="49"/>
  <c r="L74" i="49"/>
  <c r="K74" i="49"/>
  <c r="J74" i="49"/>
  <c r="I74" i="49"/>
  <c r="H74" i="49"/>
  <c r="G74" i="49"/>
  <c r="F74" i="49"/>
  <c r="E74" i="49"/>
  <c r="D74" i="49"/>
  <c r="C74" i="49"/>
  <c r="B74" i="49"/>
  <c r="A74" i="49"/>
  <c r="A73" i="49"/>
  <c r="AC72" i="49"/>
  <c r="AB72" i="49"/>
  <c r="AA72" i="49"/>
  <c r="Z72" i="49"/>
  <c r="Y72" i="49"/>
  <c r="X72" i="49"/>
  <c r="W72" i="49"/>
  <c r="V72" i="49"/>
  <c r="U72" i="49"/>
  <c r="T72" i="49"/>
  <c r="S72" i="49"/>
  <c r="R72" i="49"/>
  <c r="Q72" i="49"/>
  <c r="P72" i="49"/>
  <c r="O72" i="49"/>
  <c r="N72" i="49"/>
  <c r="M72" i="49"/>
  <c r="L72" i="49"/>
  <c r="K72" i="49"/>
  <c r="J72" i="49"/>
  <c r="I72" i="49"/>
  <c r="H72" i="49"/>
  <c r="G72" i="49"/>
  <c r="F72" i="49"/>
  <c r="E72" i="49"/>
  <c r="D72" i="49"/>
  <c r="C72" i="49"/>
  <c r="B72" i="49"/>
  <c r="A72" i="49"/>
  <c r="AC71" i="49"/>
  <c r="AB71" i="49"/>
  <c r="AA71" i="49"/>
  <c r="Z71" i="49"/>
  <c r="Y71" i="49"/>
  <c r="X71" i="49"/>
  <c r="W71" i="49"/>
  <c r="V71" i="49"/>
  <c r="U71" i="49"/>
  <c r="T71" i="49"/>
  <c r="S71" i="49"/>
  <c r="R71" i="49"/>
  <c r="Q71" i="49"/>
  <c r="P71" i="49"/>
  <c r="O71" i="49"/>
  <c r="N71" i="49"/>
  <c r="M71" i="49"/>
  <c r="L71" i="49"/>
  <c r="K71" i="49"/>
  <c r="J71" i="49"/>
  <c r="I71" i="49"/>
  <c r="H71" i="49"/>
  <c r="G71" i="49"/>
  <c r="F71" i="49"/>
  <c r="E71" i="49"/>
  <c r="D71" i="49"/>
  <c r="C71" i="49"/>
  <c r="B71" i="49"/>
  <c r="A71" i="49"/>
  <c r="AC70" i="49"/>
  <c r="AB70" i="49"/>
  <c r="AA70" i="49"/>
  <c r="Z70" i="49"/>
  <c r="Y70" i="49"/>
  <c r="X70" i="49"/>
  <c r="W70" i="49"/>
  <c r="V70" i="49"/>
  <c r="U70" i="49"/>
  <c r="T70" i="49"/>
  <c r="S70" i="49"/>
  <c r="R70" i="49"/>
  <c r="Q70" i="49"/>
  <c r="P70" i="49"/>
  <c r="O70" i="49"/>
  <c r="N70" i="49"/>
  <c r="M70" i="49"/>
  <c r="L70" i="49"/>
  <c r="K70" i="49"/>
  <c r="J70" i="49"/>
  <c r="I70" i="49"/>
  <c r="H70" i="49"/>
  <c r="G70" i="49"/>
  <c r="F70" i="49"/>
  <c r="E70" i="49"/>
  <c r="D70" i="49"/>
  <c r="C70" i="49"/>
  <c r="B70" i="49"/>
  <c r="A70" i="49"/>
  <c r="AC69" i="49"/>
  <c r="AB69" i="49"/>
  <c r="AA69" i="49"/>
  <c r="Z69" i="49"/>
  <c r="Y69" i="49"/>
  <c r="X69" i="49"/>
  <c r="W69" i="49"/>
  <c r="V69" i="49"/>
  <c r="U69" i="49"/>
  <c r="T69" i="49"/>
  <c r="S69" i="49"/>
  <c r="R69" i="49"/>
  <c r="Q69" i="49"/>
  <c r="P69" i="49"/>
  <c r="O69" i="49"/>
  <c r="N69" i="49"/>
  <c r="M69" i="49"/>
  <c r="L69" i="49"/>
  <c r="K69" i="49"/>
  <c r="J69" i="49"/>
  <c r="I69" i="49"/>
  <c r="H69" i="49"/>
  <c r="G69" i="49"/>
  <c r="F69" i="49"/>
  <c r="E69" i="49"/>
  <c r="D69" i="49"/>
  <c r="C69" i="49"/>
  <c r="B69" i="49"/>
  <c r="A69" i="49"/>
  <c r="AG52" i="49"/>
  <c r="X35" i="49"/>
  <c r="X58" i="49" s="1"/>
  <c r="Q35" i="49"/>
  <c r="X36" i="49"/>
  <c r="X34" i="49" s="1"/>
  <c r="X37" i="49" s="1"/>
  <c r="Q36" i="49"/>
  <c r="Q34" i="49" s="1"/>
  <c r="Q37" i="49" s="1"/>
  <c r="W35" i="49"/>
  <c r="V35" i="49"/>
  <c r="U35" i="49"/>
  <c r="U59" i="49" s="1"/>
  <c r="T35" i="49"/>
  <c r="T54" i="49" s="1"/>
  <c r="S35" i="49"/>
  <c r="S60" i="49" s="1"/>
  <c r="R35" i="49"/>
  <c r="R49" i="49" s="1"/>
  <c r="AG34" i="49"/>
  <c r="AA35" i="49"/>
  <c r="AA59" i="49" s="1"/>
  <c r="Y36" i="49"/>
  <c r="Y34" i="49" s="1"/>
  <c r="Y37" i="49" s="1"/>
  <c r="S36" i="49"/>
  <c r="S34" i="49" s="1"/>
  <c r="S37" i="49" s="1"/>
  <c r="P36" i="49"/>
  <c r="P34" i="49" s="1"/>
  <c r="P37" i="49" s="1"/>
  <c r="O35" i="49"/>
  <c r="K35" i="49"/>
  <c r="I36" i="49"/>
  <c r="I34" i="49" s="1"/>
  <c r="I37" i="49" s="1"/>
  <c r="H36" i="49"/>
  <c r="H34" i="49" s="1"/>
  <c r="H37" i="49" s="1"/>
  <c r="G35" i="49"/>
  <c r="G49" i="49" s="1"/>
  <c r="G51" i="49" s="1"/>
  <c r="C35" i="49"/>
  <c r="X30" i="49"/>
  <c r="W30" i="49"/>
  <c r="V30" i="49"/>
  <c r="U30" i="49"/>
  <c r="T30" i="49"/>
  <c r="S30" i="49"/>
  <c r="R30" i="49"/>
  <c r="Q30" i="49"/>
  <c r="P30" i="49"/>
  <c r="M30" i="49"/>
  <c r="L30" i="49"/>
  <c r="K30" i="49"/>
  <c r="J30" i="49"/>
  <c r="E30" i="49"/>
  <c r="X26" i="49"/>
  <c r="W26" i="49"/>
  <c r="V26" i="49"/>
  <c r="U26" i="49"/>
  <c r="T26" i="49"/>
  <c r="S26" i="49"/>
  <c r="R26" i="49"/>
  <c r="Q26" i="49"/>
  <c r="P26" i="49"/>
  <c r="M26" i="49"/>
  <c r="L26" i="49"/>
  <c r="K26" i="49"/>
  <c r="J26" i="49"/>
  <c r="E26" i="49"/>
  <c r="AC24" i="49"/>
  <c r="AB24" i="49"/>
  <c r="AA24" i="49"/>
  <c r="Z24" i="49"/>
  <c r="Y24" i="49"/>
  <c r="X24" i="49"/>
  <c r="Q24" i="49"/>
  <c r="O24" i="49"/>
  <c r="N24" i="49"/>
  <c r="K24" i="49"/>
  <c r="I24" i="49"/>
  <c r="H24" i="49"/>
  <c r="G24" i="49"/>
  <c r="F24" i="49"/>
  <c r="E24" i="49"/>
  <c r="D24" i="49"/>
  <c r="C24" i="49"/>
  <c r="B24" i="49"/>
  <c r="AC19" i="49"/>
  <c r="AB18" i="49"/>
  <c r="AA18" i="49"/>
  <c r="Z18" i="49"/>
  <c r="Y18" i="49"/>
  <c r="X18" i="49"/>
  <c r="W18" i="49"/>
  <c r="V18" i="49"/>
  <c r="U18" i="49"/>
  <c r="T18" i="49"/>
  <c r="S18" i="49"/>
  <c r="R18" i="49"/>
  <c r="Q18" i="49"/>
  <c r="P18" i="49"/>
  <c r="O18" i="49"/>
  <c r="N18" i="49"/>
  <c r="M18" i="49"/>
  <c r="L18" i="49"/>
  <c r="B4" i="49"/>
  <c r="N35" i="49"/>
  <c r="N58" i="49" s="1"/>
  <c r="O36" i="49"/>
  <c r="O34" i="49" s="1"/>
  <c r="O37" i="49" s="1"/>
  <c r="C36" i="49"/>
  <c r="C34" i="49" s="1"/>
  <c r="C37" i="49" s="1"/>
  <c r="B35" i="49"/>
  <c r="B55" i="49" s="1"/>
  <c r="J35" i="49"/>
  <c r="J57" i="49" s="1"/>
  <c r="F35" i="49"/>
  <c r="D35" i="49"/>
  <c r="H35" i="49"/>
  <c r="L35" i="49"/>
  <c r="P35" i="49"/>
  <c r="I35" i="49"/>
  <c r="I57" i="49" s="1"/>
  <c r="AB35" i="49"/>
  <c r="AB60" i="49" s="1"/>
  <c r="Z67" i="50"/>
  <c r="Z66" i="50"/>
  <c r="Z35" i="49"/>
  <c r="Z63" i="49" s="1"/>
  <c r="E35" i="49"/>
  <c r="E61" i="49" s="1"/>
  <c r="M35" i="49"/>
  <c r="M56" i="49" s="1"/>
  <c r="Y35" i="49"/>
  <c r="AC35" i="49"/>
  <c r="AC52" i="49"/>
  <c r="AC66" i="49"/>
  <c r="AC67" i="49"/>
  <c r="T18" i="48"/>
  <c r="U18" i="48"/>
  <c r="V18" i="48"/>
  <c r="T26" i="48"/>
  <c r="U26" i="48"/>
  <c r="V26" i="48"/>
  <c r="T30" i="48"/>
  <c r="U30" i="48"/>
  <c r="V30" i="48"/>
  <c r="B100" i="48" a="1"/>
  <c r="B100" i="48" s="1"/>
  <c r="H94" i="48" s="1"/>
  <c r="Y97" i="48"/>
  <c r="X97" i="48"/>
  <c r="W97" i="48"/>
  <c r="V97" i="48"/>
  <c r="U97" i="48"/>
  <c r="T97" i="48"/>
  <c r="Z80" i="48"/>
  <c r="Y80" i="48"/>
  <c r="X80" i="48"/>
  <c r="W80" i="48"/>
  <c r="V80" i="48"/>
  <c r="U80" i="48"/>
  <c r="T80" i="48"/>
  <c r="S80" i="48"/>
  <c r="R80" i="48"/>
  <c r="Q80" i="48"/>
  <c r="P80" i="48"/>
  <c r="O80" i="48"/>
  <c r="N80" i="48"/>
  <c r="M80" i="48"/>
  <c r="L80" i="48"/>
  <c r="K80" i="48"/>
  <c r="J80" i="48"/>
  <c r="I80" i="48"/>
  <c r="H80" i="48"/>
  <c r="G80" i="48"/>
  <c r="F80" i="48"/>
  <c r="E80" i="48"/>
  <c r="D80" i="48"/>
  <c r="C80" i="48"/>
  <c r="B80" i="48"/>
  <c r="A80" i="48"/>
  <c r="Z79" i="48"/>
  <c r="Y79" i="48"/>
  <c r="X79" i="48"/>
  <c r="W79" i="48"/>
  <c r="V79" i="48"/>
  <c r="U79" i="48"/>
  <c r="T79" i="48"/>
  <c r="S79" i="48"/>
  <c r="R79" i="48"/>
  <c r="Q79" i="48"/>
  <c r="P79" i="48"/>
  <c r="O79" i="48"/>
  <c r="N79" i="48"/>
  <c r="M79" i="48"/>
  <c r="L79" i="48"/>
  <c r="K79" i="48"/>
  <c r="J79" i="48"/>
  <c r="I79" i="48"/>
  <c r="H79" i="48"/>
  <c r="G79" i="48"/>
  <c r="F79" i="48"/>
  <c r="E79" i="48"/>
  <c r="D79" i="48"/>
  <c r="C79" i="48"/>
  <c r="B79" i="48"/>
  <c r="A79" i="48"/>
  <c r="Z78" i="48"/>
  <c r="Y78" i="48"/>
  <c r="X78" i="48"/>
  <c r="W78" i="48"/>
  <c r="V78" i="48"/>
  <c r="U78" i="48"/>
  <c r="T78" i="48"/>
  <c r="S78" i="48"/>
  <c r="R78" i="48"/>
  <c r="Q78" i="48"/>
  <c r="P78" i="48"/>
  <c r="O78" i="48"/>
  <c r="N78" i="48"/>
  <c r="M78" i="48"/>
  <c r="L78" i="48"/>
  <c r="K78" i="48"/>
  <c r="J78" i="48"/>
  <c r="I78" i="48"/>
  <c r="H78" i="48"/>
  <c r="G78" i="48"/>
  <c r="F78" i="48"/>
  <c r="E78" i="48"/>
  <c r="D78" i="48"/>
  <c r="C78" i="48"/>
  <c r="B78" i="48"/>
  <c r="A78" i="48"/>
  <c r="Z77" i="48"/>
  <c r="Y77" i="48"/>
  <c r="X77" i="48"/>
  <c r="W77" i="48"/>
  <c r="V77" i="48"/>
  <c r="U77" i="48"/>
  <c r="T77" i="48"/>
  <c r="S77" i="48"/>
  <c r="R77" i="48"/>
  <c r="Q77" i="48"/>
  <c r="P77" i="48"/>
  <c r="O77" i="48"/>
  <c r="N77" i="48"/>
  <c r="M77" i="48"/>
  <c r="L77" i="48"/>
  <c r="K77" i="48"/>
  <c r="J77" i="48"/>
  <c r="I77" i="48"/>
  <c r="H77" i="48"/>
  <c r="G77" i="48"/>
  <c r="F77" i="48"/>
  <c r="E77" i="48"/>
  <c r="D77" i="48"/>
  <c r="C77" i="48"/>
  <c r="B77" i="48"/>
  <c r="A77" i="48"/>
  <c r="Z76" i="48"/>
  <c r="Y76" i="48"/>
  <c r="X76" i="48"/>
  <c r="W76" i="48"/>
  <c r="V76" i="48"/>
  <c r="U76" i="48"/>
  <c r="T76" i="48"/>
  <c r="S76" i="48"/>
  <c r="R76" i="48"/>
  <c r="Q76" i="48"/>
  <c r="P76" i="48"/>
  <c r="O76" i="48"/>
  <c r="N76" i="48"/>
  <c r="M76" i="48"/>
  <c r="L76" i="48"/>
  <c r="K76" i="48"/>
  <c r="J76" i="48"/>
  <c r="I76" i="48"/>
  <c r="H76" i="48"/>
  <c r="G76" i="48"/>
  <c r="F76" i="48"/>
  <c r="E76" i="48"/>
  <c r="D76" i="48"/>
  <c r="C76" i="48"/>
  <c r="B76" i="48"/>
  <c r="A76" i="48"/>
  <c r="Z75" i="48"/>
  <c r="Y75" i="48"/>
  <c r="X75" i="48"/>
  <c r="W75" i="48"/>
  <c r="V75" i="48"/>
  <c r="U75" i="48"/>
  <c r="T75" i="48"/>
  <c r="S75" i="48"/>
  <c r="R75" i="48"/>
  <c r="Q75" i="48"/>
  <c r="P75" i="48"/>
  <c r="O75" i="48"/>
  <c r="N75" i="48"/>
  <c r="M75" i="48"/>
  <c r="L75" i="48"/>
  <c r="K75" i="48"/>
  <c r="J75" i="48"/>
  <c r="I75" i="48"/>
  <c r="H75" i="48"/>
  <c r="G75" i="48"/>
  <c r="F75" i="48"/>
  <c r="E75" i="48"/>
  <c r="D75" i="48"/>
  <c r="C75" i="48"/>
  <c r="B75" i="48"/>
  <c r="A75" i="48"/>
  <c r="Z74" i="48"/>
  <c r="Y74" i="48"/>
  <c r="X74" i="48"/>
  <c r="W74" i="48"/>
  <c r="V74" i="48"/>
  <c r="U74" i="48"/>
  <c r="T74" i="48"/>
  <c r="S74" i="48"/>
  <c r="R74" i="48"/>
  <c r="Q74" i="48"/>
  <c r="P74" i="48"/>
  <c r="O74" i="48"/>
  <c r="N74" i="48"/>
  <c r="M74" i="48"/>
  <c r="L74" i="48"/>
  <c r="K74" i="48"/>
  <c r="J74" i="48"/>
  <c r="I74" i="48"/>
  <c r="H74" i="48"/>
  <c r="G74" i="48"/>
  <c r="F74" i="48"/>
  <c r="E74" i="48"/>
  <c r="D74" i="48"/>
  <c r="C74" i="48"/>
  <c r="B74" i="48"/>
  <c r="A74" i="48"/>
  <c r="A73" i="48"/>
  <c r="Z72" i="48"/>
  <c r="Y72" i="48"/>
  <c r="X72" i="48"/>
  <c r="W72" i="48"/>
  <c r="V72" i="48"/>
  <c r="U72" i="48"/>
  <c r="T72" i="48"/>
  <c r="S72" i="48"/>
  <c r="R72" i="48"/>
  <c r="Q72" i="48"/>
  <c r="P72" i="48"/>
  <c r="O72" i="48"/>
  <c r="N72" i="48"/>
  <c r="M72" i="48"/>
  <c r="L72" i="48"/>
  <c r="K72" i="48"/>
  <c r="J72" i="48"/>
  <c r="I72" i="48"/>
  <c r="H72" i="48"/>
  <c r="G72" i="48"/>
  <c r="F72" i="48"/>
  <c r="E72" i="48"/>
  <c r="D72" i="48"/>
  <c r="A72" i="48"/>
  <c r="A71" i="48"/>
  <c r="Z70" i="48"/>
  <c r="Y70" i="48"/>
  <c r="X70" i="48"/>
  <c r="W70" i="48"/>
  <c r="V70" i="48"/>
  <c r="U70" i="48"/>
  <c r="T70" i="48"/>
  <c r="S70" i="48"/>
  <c r="R70" i="48"/>
  <c r="Q70" i="48"/>
  <c r="P70" i="48"/>
  <c r="O70" i="48"/>
  <c r="N70" i="48"/>
  <c r="M70" i="48"/>
  <c r="L70" i="48"/>
  <c r="K70" i="48"/>
  <c r="J70" i="48"/>
  <c r="I70" i="48"/>
  <c r="H70" i="48"/>
  <c r="G70" i="48"/>
  <c r="F70" i="48"/>
  <c r="E70" i="48"/>
  <c r="D70" i="48"/>
  <c r="A70" i="48"/>
  <c r="Z69" i="48"/>
  <c r="Z71" i="48" s="1"/>
  <c r="Y69" i="48"/>
  <c r="Y71" i="48" s="1"/>
  <c r="X69" i="48"/>
  <c r="X71" i="48" s="1"/>
  <c r="W69" i="48"/>
  <c r="W71" i="48" s="1"/>
  <c r="V69" i="48"/>
  <c r="V71" i="48" s="1"/>
  <c r="U69" i="48"/>
  <c r="U71" i="48" s="1"/>
  <c r="T69" i="48"/>
  <c r="T71" i="48" s="1"/>
  <c r="S69" i="48"/>
  <c r="S71" i="48" s="1"/>
  <c r="R69" i="48"/>
  <c r="R71" i="48" s="1"/>
  <c r="Q69" i="48"/>
  <c r="Q71" i="48" s="1"/>
  <c r="P69" i="48"/>
  <c r="P71" i="48" s="1"/>
  <c r="O69" i="48"/>
  <c r="O71" i="48" s="1"/>
  <c r="N69" i="48"/>
  <c r="N71" i="48" s="1"/>
  <c r="M69" i="48"/>
  <c r="M71" i="48" s="1"/>
  <c r="L69" i="48"/>
  <c r="L71" i="48" s="1"/>
  <c r="K69" i="48"/>
  <c r="K71" i="48" s="1"/>
  <c r="J69" i="48"/>
  <c r="J71" i="48" s="1"/>
  <c r="I69" i="48"/>
  <c r="I71" i="48" s="1"/>
  <c r="H69" i="48"/>
  <c r="H71" i="48" s="1"/>
  <c r="G69" i="48"/>
  <c r="G71" i="48" s="1"/>
  <c r="F69" i="48"/>
  <c r="F71" i="48" s="1"/>
  <c r="E69" i="48"/>
  <c r="E71" i="48" s="1"/>
  <c r="D69" i="48"/>
  <c r="D71" i="48" s="1"/>
  <c r="C69" i="48"/>
  <c r="C71" i="48" s="1"/>
  <c r="B69" i="48"/>
  <c r="B71" i="48" s="1"/>
  <c r="A69" i="48"/>
  <c r="AG52" i="48"/>
  <c r="W35" i="48"/>
  <c r="W50" i="48" s="1"/>
  <c r="W52" i="48" s="1"/>
  <c r="P35" i="48"/>
  <c r="P55" i="48" s="1"/>
  <c r="AG34" i="48"/>
  <c r="U35" i="48"/>
  <c r="U65" i="48" s="1"/>
  <c r="S35" i="48"/>
  <c r="S59" i="48" s="1"/>
  <c r="R35" i="48"/>
  <c r="Q35" i="48"/>
  <c r="W36" i="48"/>
  <c r="W34" i="48" s="1"/>
  <c r="W37" i="48" s="1"/>
  <c r="R36" i="48"/>
  <c r="R34" i="48" s="1"/>
  <c r="R37" i="48" s="1"/>
  <c r="X36" i="48"/>
  <c r="X34" i="48" s="1"/>
  <c r="X37" i="48" s="1"/>
  <c r="M36" i="48"/>
  <c r="M34" i="48" s="1"/>
  <c r="M37" i="48" s="1"/>
  <c r="H36" i="48"/>
  <c r="H34" i="48" s="1"/>
  <c r="H37" i="48" s="1"/>
  <c r="S30" i="48"/>
  <c r="R30" i="48"/>
  <c r="Q30" i="48"/>
  <c r="W30" i="48"/>
  <c r="S26" i="48"/>
  <c r="R26" i="48"/>
  <c r="Q26" i="48"/>
  <c r="W26" i="48"/>
  <c r="Z24" i="48"/>
  <c r="W24" i="48"/>
  <c r="Y24" i="48"/>
  <c r="X24" i="48"/>
  <c r="P24" i="48"/>
  <c r="O24" i="48"/>
  <c r="N24" i="48"/>
  <c r="M24" i="48"/>
  <c r="L24" i="48"/>
  <c r="K24" i="48"/>
  <c r="J24" i="48"/>
  <c r="I24" i="48"/>
  <c r="H24" i="48"/>
  <c r="G24" i="48"/>
  <c r="F24" i="48"/>
  <c r="E24" i="48"/>
  <c r="D24" i="48"/>
  <c r="C24" i="48"/>
  <c r="B24" i="48"/>
  <c r="Z19" i="48"/>
  <c r="S18" i="48"/>
  <c r="R18" i="48"/>
  <c r="Q18" i="48"/>
  <c r="W18" i="48"/>
  <c r="Y18" i="48"/>
  <c r="X18" i="48"/>
  <c r="P18" i="48"/>
  <c r="O18" i="48"/>
  <c r="N18" i="48"/>
  <c r="M18" i="48"/>
  <c r="B4" i="48"/>
  <c r="B11" i="48" s="1"/>
  <c r="N35" i="48"/>
  <c r="Y35" i="48"/>
  <c r="Y57" i="48" s="1"/>
  <c r="L35" i="48"/>
  <c r="L36" i="48"/>
  <c r="L34" i="48" s="1"/>
  <c r="L37" i="48" s="1"/>
  <c r="T35" i="48"/>
  <c r="T63" i="48" s="1"/>
  <c r="Y36" i="48"/>
  <c r="Y34" i="48" s="1"/>
  <c r="Y37" i="48" s="1"/>
  <c r="H35" i="48"/>
  <c r="H64" i="48" s="1"/>
  <c r="F35" i="48"/>
  <c r="J35" i="48"/>
  <c r="G36" i="48"/>
  <c r="G34" i="48" s="1"/>
  <c r="G37" i="48" s="1"/>
  <c r="G35" i="48"/>
  <c r="G49" i="48" s="1"/>
  <c r="G51" i="48" s="1"/>
  <c r="K35" i="48"/>
  <c r="K63" i="48" s="1"/>
  <c r="O35" i="48"/>
  <c r="C35" i="48"/>
  <c r="C55" i="48" s="1"/>
  <c r="D35" i="48"/>
  <c r="D65" i="48" s="1"/>
  <c r="E35" i="48"/>
  <c r="E64" i="48" s="1"/>
  <c r="F166" i="48" s="1"/>
  <c r="E166" i="48" s="1"/>
  <c r="I35" i="48"/>
  <c r="M35" i="48"/>
  <c r="M59" i="48" s="1"/>
  <c r="X35" i="48"/>
  <c r="X63" i="48" s="1"/>
  <c r="V35" i="48"/>
  <c r="I36" i="48"/>
  <c r="I34" i="48" s="1"/>
  <c r="I37" i="48" s="1"/>
  <c r="Q98" i="48"/>
  <c r="S98" i="48"/>
  <c r="V98" i="48"/>
  <c r="R98" i="48"/>
  <c r="Z35" i="48"/>
  <c r="AH43" i="48"/>
  <c r="AH44" i="48" s="1"/>
  <c r="Z52" i="48"/>
  <c r="Z66" i="48"/>
  <c r="Z67" i="48"/>
  <c r="B100" i="44" a="1"/>
  <c r="B100" i="44" s="1"/>
  <c r="Y98" i="44" s="1"/>
  <c r="W97" i="44"/>
  <c r="V97" i="44"/>
  <c r="U97" i="44"/>
  <c r="T97" i="44"/>
  <c r="S97" i="44"/>
  <c r="R97" i="44"/>
  <c r="AC80" i="44"/>
  <c r="AB80" i="44"/>
  <c r="AA80" i="44"/>
  <c r="Z80" i="44"/>
  <c r="Y80" i="44"/>
  <c r="X80" i="44"/>
  <c r="W80" i="44"/>
  <c r="V80" i="44"/>
  <c r="U80" i="44"/>
  <c r="T80" i="44"/>
  <c r="S80" i="44"/>
  <c r="R80" i="44"/>
  <c r="Q80" i="44"/>
  <c r="P80" i="44"/>
  <c r="O80" i="44"/>
  <c r="N80" i="44"/>
  <c r="M80" i="44"/>
  <c r="L80" i="44"/>
  <c r="K80" i="44"/>
  <c r="J80" i="44"/>
  <c r="I80" i="44"/>
  <c r="H80" i="44"/>
  <c r="G80" i="44"/>
  <c r="F80" i="44"/>
  <c r="E80" i="44"/>
  <c r="D80" i="44"/>
  <c r="C80" i="44"/>
  <c r="B80" i="44"/>
  <c r="A80" i="44"/>
  <c r="AC79" i="44"/>
  <c r="AB79" i="44"/>
  <c r="AA79" i="44"/>
  <c r="Z79" i="44"/>
  <c r="Y79" i="44"/>
  <c r="X79" i="44"/>
  <c r="W79" i="44"/>
  <c r="V79" i="44"/>
  <c r="U79" i="44"/>
  <c r="T79" i="44"/>
  <c r="S79" i="44"/>
  <c r="R79" i="44"/>
  <c r="Q79" i="44"/>
  <c r="P79" i="44"/>
  <c r="O79" i="44"/>
  <c r="N79" i="44"/>
  <c r="M79" i="44"/>
  <c r="L79" i="44"/>
  <c r="K79" i="44"/>
  <c r="J79" i="44"/>
  <c r="I79" i="44"/>
  <c r="H79" i="44"/>
  <c r="G79" i="44"/>
  <c r="F79" i="44"/>
  <c r="E79" i="44"/>
  <c r="D79" i="44"/>
  <c r="C79" i="44"/>
  <c r="B79" i="44"/>
  <c r="AC78" i="44"/>
  <c r="AB78" i="44"/>
  <c r="AA78" i="44"/>
  <c r="Z78" i="44"/>
  <c r="Y78" i="44"/>
  <c r="X78" i="44"/>
  <c r="W78" i="44"/>
  <c r="V78" i="44"/>
  <c r="U78" i="44"/>
  <c r="T78" i="44"/>
  <c r="S78" i="44"/>
  <c r="R78" i="44"/>
  <c r="Q78" i="44"/>
  <c r="P78" i="44"/>
  <c r="O78" i="44"/>
  <c r="N78" i="44"/>
  <c r="M78" i="44"/>
  <c r="L78" i="44"/>
  <c r="K78" i="44"/>
  <c r="J78" i="44"/>
  <c r="I78" i="44"/>
  <c r="H78" i="44"/>
  <c r="G78" i="44"/>
  <c r="F78" i="44"/>
  <c r="E78" i="44"/>
  <c r="D78" i="44"/>
  <c r="C78" i="44"/>
  <c r="B78" i="44"/>
  <c r="A78" i="44"/>
  <c r="AC77" i="44"/>
  <c r="AB77" i="44"/>
  <c r="AA77" i="44"/>
  <c r="Z77" i="44"/>
  <c r="Y77" i="44"/>
  <c r="X77" i="44"/>
  <c r="W77" i="44"/>
  <c r="V77" i="44"/>
  <c r="U77" i="44"/>
  <c r="T77" i="44"/>
  <c r="S77" i="44"/>
  <c r="R77" i="44"/>
  <c r="Q77" i="44"/>
  <c r="P77" i="44"/>
  <c r="O77" i="44"/>
  <c r="N77" i="44"/>
  <c r="M77" i="44"/>
  <c r="L77" i="44"/>
  <c r="K77" i="44"/>
  <c r="J77" i="44"/>
  <c r="I77" i="44"/>
  <c r="H77" i="44"/>
  <c r="G77" i="44"/>
  <c r="F77" i="44"/>
  <c r="E77" i="44"/>
  <c r="D77" i="44"/>
  <c r="C77" i="44"/>
  <c r="B77" i="44"/>
  <c r="A77" i="44"/>
  <c r="AC76" i="44"/>
  <c r="AB76" i="44"/>
  <c r="AA76" i="44"/>
  <c r="Z76" i="44"/>
  <c r="Y76" i="44"/>
  <c r="X76" i="44"/>
  <c r="W76" i="44"/>
  <c r="V76" i="44"/>
  <c r="U76" i="44"/>
  <c r="T76" i="44"/>
  <c r="S76" i="44"/>
  <c r="R76" i="44"/>
  <c r="Q76" i="44"/>
  <c r="P76" i="44"/>
  <c r="O76" i="44"/>
  <c r="N76" i="44"/>
  <c r="M76" i="44"/>
  <c r="L76" i="44"/>
  <c r="K76" i="44"/>
  <c r="J76" i="44"/>
  <c r="I76" i="44"/>
  <c r="H76" i="44"/>
  <c r="G76" i="44"/>
  <c r="F76" i="44"/>
  <c r="E76" i="44"/>
  <c r="D76" i="44"/>
  <c r="C76" i="44"/>
  <c r="B76" i="44"/>
  <c r="A76" i="44"/>
  <c r="AC75" i="44"/>
  <c r="AB75" i="44"/>
  <c r="AA75" i="44"/>
  <c r="Z75" i="44"/>
  <c r="Y75" i="44"/>
  <c r="X75" i="44"/>
  <c r="W75" i="44"/>
  <c r="V75" i="44"/>
  <c r="U75" i="44"/>
  <c r="T75" i="44"/>
  <c r="S75" i="44"/>
  <c r="R75" i="44"/>
  <c r="Q75" i="44"/>
  <c r="P75" i="44"/>
  <c r="O75" i="44"/>
  <c r="N75" i="44"/>
  <c r="M75" i="44"/>
  <c r="L75" i="44"/>
  <c r="K75" i="44"/>
  <c r="J75" i="44"/>
  <c r="I75" i="44"/>
  <c r="H75" i="44"/>
  <c r="G75" i="44"/>
  <c r="F75" i="44"/>
  <c r="E75" i="44"/>
  <c r="D75" i="44"/>
  <c r="C75" i="44"/>
  <c r="B75" i="44"/>
  <c r="A75" i="44"/>
  <c r="AC74" i="44"/>
  <c r="AB74" i="44"/>
  <c r="AA74" i="44"/>
  <c r="Z74" i="44"/>
  <c r="Y74" i="44"/>
  <c r="X74" i="44"/>
  <c r="W74" i="44"/>
  <c r="V74" i="44"/>
  <c r="U74" i="44"/>
  <c r="T74" i="44"/>
  <c r="S74" i="44"/>
  <c r="R74" i="44"/>
  <c r="Q74" i="44"/>
  <c r="P74" i="44"/>
  <c r="O74" i="44"/>
  <c r="N74" i="44"/>
  <c r="M74" i="44"/>
  <c r="L74" i="44"/>
  <c r="K74" i="44"/>
  <c r="J74" i="44"/>
  <c r="I74" i="44"/>
  <c r="H74" i="44"/>
  <c r="G74" i="44"/>
  <c r="F74" i="44"/>
  <c r="E74" i="44"/>
  <c r="D74" i="44"/>
  <c r="C74" i="44"/>
  <c r="B74" i="44"/>
  <c r="A74" i="44"/>
  <c r="A73" i="44"/>
  <c r="AC72" i="44"/>
  <c r="AB72" i="44"/>
  <c r="AA72" i="44"/>
  <c r="Z72" i="44"/>
  <c r="Y72" i="44"/>
  <c r="X72" i="44"/>
  <c r="W72" i="44"/>
  <c r="V72" i="44"/>
  <c r="U72" i="44"/>
  <c r="T72" i="44"/>
  <c r="S72" i="44"/>
  <c r="R72" i="44"/>
  <c r="Q72" i="44"/>
  <c r="P72" i="44"/>
  <c r="O72" i="44"/>
  <c r="N72" i="44"/>
  <c r="M72" i="44"/>
  <c r="L72" i="44"/>
  <c r="K72" i="44"/>
  <c r="J72" i="44"/>
  <c r="I72" i="44"/>
  <c r="H72" i="44"/>
  <c r="G72" i="44"/>
  <c r="F72" i="44"/>
  <c r="E72" i="44"/>
  <c r="D72" i="44"/>
  <c r="C72" i="44"/>
  <c r="B72" i="44"/>
  <c r="A72" i="44"/>
  <c r="AC71" i="44"/>
  <c r="AB71" i="44"/>
  <c r="AA71" i="44"/>
  <c r="Z71" i="44"/>
  <c r="Y71" i="44"/>
  <c r="X71" i="44"/>
  <c r="W71" i="44"/>
  <c r="V71" i="44"/>
  <c r="U71" i="44"/>
  <c r="T71" i="44"/>
  <c r="S71" i="44"/>
  <c r="R71" i="44"/>
  <c r="Q71" i="44"/>
  <c r="P71" i="44"/>
  <c r="O71" i="44"/>
  <c r="N71" i="44"/>
  <c r="M71" i="44"/>
  <c r="L71" i="44"/>
  <c r="K71" i="44"/>
  <c r="J71" i="44"/>
  <c r="I71" i="44"/>
  <c r="H71" i="44"/>
  <c r="G71" i="44"/>
  <c r="F71" i="44"/>
  <c r="E71" i="44"/>
  <c r="D71" i="44"/>
  <c r="C71" i="44"/>
  <c r="B71" i="44"/>
  <c r="A71" i="44"/>
  <c r="AC70" i="44"/>
  <c r="AB70" i="44"/>
  <c r="AA70" i="44"/>
  <c r="Z70" i="44"/>
  <c r="Y70" i="44"/>
  <c r="X70" i="44"/>
  <c r="W70" i="44"/>
  <c r="V70" i="44"/>
  <c r="U70" i="44"/>
  <c r="T70" i="44"/>
  <c r="S70" i="44"/>
  <c r="R70" i="44"/>
  <c r="Q70" i="44"/>
  <c r="P70" i="44"/>
  <c r="O70" i="44"/>
  <c r="N70" i="44"/>
  <c r="M70" i="44"/>
  <c r="L70" i="44"/>
  <c r="K70" i="44"/>
  <c r="J70" i="44"/>
  <c r="I70" i="44"/>
  <c r="H70" i="44"/>
  <c r="G70" i="44"/>
  <c r="F70" i="44"/>
  <c r="E70" i="44"/>
  <c r="D70" i="44"/>
  <c r="C70" i="44"/>
  <c r="B70" i="44"/>
  <c r="A70" i="44"/>
  <c r="AC69" i="44"/>
  <c r="AB69" i="44"/>
  <c r="AA69" i="44"/>
  <c r="Z69" i="44"/>
  <c r="Y69" i="44"/>
  <c r="X69" i="44"/>
  <c r="W69" i="44"/>
  <c r="V69" i="44"/>
  <c r="U69" i="44"/>
  <c r="T69" i="44"/>
  <c r="S69" i="44"/>
  <c r="R69" i="44"/>
  <c r="Q69" i="44"/>
  <c r="P69" i="44"/>
  <c r="O69" i="44"/>
  <c r="N69" i="44"/>
  <c r="M69" i="44"/>
  <c r="L69" i="44"/>
  <c r="K69" i="44"/>
  <c r="J69" i="44"/>
  <c r="I69" i="44"/>
  <c r="H69" i="44"/>
  <c r="G69" i="44"/>
  <c r="F69" i="44"/>
  <c r="E69" i="44"/>
  <c r="D69" i="44"/>
  <c r="C69" i="44"/>
  <c r="B69" i="44"/>
  <c r="A69" i="44"/>
  <c r="AG52" i="44"/>
  <c r="X35" i="44"/>
  <c r="X59" i="44" s="1"/>
  <c r="Q35" i="44"/>
  <c r="Q63" i="44" s="1"/>
  <c r="W35" i="44"/>
  <c r="W62" i="44" s="1"/>
  <c r="V35" i="44"/>
  <c r="V58" i="44" s="1"/>
  <c r="U35" i="44"/>
  <c r="U64" i="44" s="1"/>
  <c r="T35" i="44"/>
  <c r="T62" i="44" s="1"/>
  <c r="S35" i="44"/>
  <c r="S62" i="44" s="1"/>
  <c r="R35" i="44"/>
  <c r="R65" i="44" s="1"/>
  <c r="C167" i="44" s="1"/>
  <c r="D167" i="44" s="1"/>
  <c r="AG34" i="44"/>
  <c r="AB35" i="44"/>
  <c r="AB56" i="44" s="1"/>
  <c r="U36" i="44"/>
  <c r="U34" i="44" s="1"/>
  <c r="U37" i="44" s="1"/>
  <c r="T36" i="44"/>
  <c r="T34" i="44" s="1"/>
  <c r="T37" i="44" s="1"/>
  <c r="S36" i="44"/>
  <c r="S34" i="44" s="1"/>
  <c r="S37" i="44" s="1"/>
  <c r="P35" i="44"/>
  <c r="P60" i="44" s="1"/>
  <c r="O36" i="44"/>
  <c r="O34" i="44" s="1"/>
  <c r="O37" i="44" s="1"/>
  <c r="L35" i="44"/>
  <c r="L49" i="44" s="1"/>
  <c r="L51" i="44" s="1"/>
  <c r="K36" i="44"/>
  <c r="K34" i="44" s="1"/>
  <c r="K37" i="44" s="1"/>
  <c r="J36" i="44"/>
  <c r="J34" i="44" s="1"/>
  <c r="J37" i="44" s="1"/>
  <c r="H35" i="44"/>
  <c r="H55" i="44" s="1"/>
  <c r="E36" i="44"/>
  <c r="E34" i="44" s="1"/>
  <c r="E37" i="44" s="1"/>
  <c r="D35" i="44"/>
  <c r="D65" i="44" s="1"/>
  <c r="C36" i="44"/>
  <c r="C34" i="44" s="1"/>
  <c r="C37" i="44" s="1"/>
  <c r="X30" i="44"/>
  <c r="W30" i="44"/>
  <c r="V30" i="44"/>
  <c r="U30" i="44"/>
  <c r="T30" i="44"/>
  <c r="S30" i="44"/>
  <c r="R30" i="44"/>
  <c r="Q30" i="44"/>
  <c r="P30" i="44"/>
  <c r="M30" i="44"/>
  <c r="L30" i="44"/>
  <c r="K30" i="44"/>
  <c r="J30" i="44"/>
  <c r="E30" i="44"/>
  <c r="X26" i="44"/>
  <c r="W26" i="44"/>
  <c r="V26" i="44"/>
  <c r="U26" i="44"/>
  <c r="T26" i="44"/>
  <c r="S26" i="44"/>
  <c r="R26" i="44"/>
  <c r="Q26" i="44"/>
  <c r="P26" i="44"/>
  <c r="M26" i="44"/>
  <c r="L26" i="44"/>
  <c r="K26" i="44"/>
  <c r="J26" i="44"/>
  <c r="E26" i="44"/>
  <c r="AC24" i="44"/>
  <c r="AB24" i="44"/>
  <c r="AA24" i="44"/>
  <c r="Z24" i="44"/>
  <c r="Y24" i="44"/>
  <c r="X24" i="44"/>
  <c r="Q24" i="44"/>
  <c r="O24" i="44"/>
  <c r="N24" i="44"/>
  <c r="K24" i="44"/>
  <c r="I24" i="44"/>
  <c r="H24" i="44"/>
  <c r="G24" i="44"/>
  <c r="F24" i="44"/>
  <c r="E24" i="44"/>
  <c r="D24" i="44"/>
  <c r="C24" i="44"/>
  <c r="B24" i="44"/>
  <c r="AC19" i="44"/>
  <c r="AB18" i="44"/>
  <c r="AA18" i="44"/>
  <c r="Z18" i="44"/>
  <c r="Y18" i="44"/>
  <c r="X18" i="44"/>
  <c r="W18" i="44"/>
  <c r="V18" i="44"/>
  <c r="U18" i="44"/>
  <c r="T18" i="44"/>
  <c r="S18" i="44"/>
  <c r="R18" i="44"/>
  <c r="Q18" i="44"/>
  <c r="P18" i="44"/>
  <c r="O18" i="44"/>
  <c r="N18" i="44"/>
  <c r="M18" i="44"/>
  <c r="L18" i="44"/>
  <c r="B4" i="44"/>
  <c r="B9" i="44" s="1"/>
  <c r="AB23" i="44" s="1"/>
  <c r="AA35" i="44"/>
  <c r="AA61" i="44" s="1"/>
  <c r="B35" i="44"/>
  <c r="B62" i="44" s="1"/>
  <c r="C35" i="44"/>
  <c r="C62" i="44" s="1"/>
  <c r="G35" i="44"/>
  <c r="G49" i="44" s="1"/>
  <c r="G51" i="44" s="1"/>
  <c r="K35" i="44"/>
  <c r="K50" i="44" s="1"/>
  <c r="K52" i="44" s="1"/>
  <c r="O35" i="44"/>
  <c r="F35" i="44"/>
  <c r="F49" i="44" s="1"/>
  <c r="J35" i="44"/>
  <c r="J65" i="44" s="1"/>
  <c r="N35" i="44"/>
  <c r="N60" i="44" s="1"/>
  <c r="I35" i="44"/>
  <c r="I63" i="44" s="1"/>
  <c r="AA36" i="44"/>
  <c r="AA34" i="44" s="1"/>
  <c r="AA37" i="44" s="1"/>
  <c r="W63" i="44"/>
  <c r="U61" i="44"/>
  <c r="E35" i="44"/>
  <c r="E49" i="44" s="1"/>
  <c r="E51" i="44" s="1"/>
  <c r="M35" i="44"/>
  <c r="Z36" i="44"/>
  <c r="Z34" i="44" s="1"/>
  <c r="Z37" i="44" s="1"/>
  <c r="Z35" i="44"/>
  <c r="Z63" i="44" s="1"/>
  <c r="D36" i="44"/>
  <c r="D34" i="44" s="1"/>
  <c r="D37" i="44" s="1"/>
  <c r="AC35" i="44"/>
  <c r="P36" i="44"/>
  <c r="P34" i="44" s="1"/>
  <c r="P37" i="44" s="1"/>
  <c r="Y35" i="44"/>
  <c r="AG34" i="42"/>
  <c r="A15" i="14"/>
  <c r="A77" i="42"/>
  <c r="B100" i="42" a="1"/>
  <c r="B100" i="42" s="1"/>
  <c r="Y80" i="42"/>
  <c r="X80" i="42"/>
  <c r="W80" i="42"/>
  <c r="V80" i="42"/>
  <c r="U80" i="42"/>
  <c r="T80" i="42"/>
  <c r="S80" i="42"/>
  <c r="R80" i="42"/>
  <c r="Q80" i="42"/>
  <c r="P80" i="42"/>
  <c r="O80" i="42"/>
  <c r="N80" i="42"/>
  <c r="M80" i="42"/>
  <c r="L80" i="42"/>
  <c r="K80" i="42"/>
  <c r="J80" i="42"/>
  <c r="I80" i="42"/>
  <c r="H80" i="42"/>
  <c r="G80" i="42"/>
  <c r="F80" i="42"/>
  <c r="E80" i="42"/>
  <c r="D80" i="42"/>
  <c r="C80" i="42"/>
  <c r="B80" i="42"/>
  <c r="A80" i="42"/>
  <c r="Y79" i="42"/>
  <c r="X79" i="42"/>
  <c r="W79" i="42"/>
  <c r="V79" i="42"/>
  <c r="U79" i="42"/>
  <c r="T79" i="42"/>
  <c r="S79" i="42"/>
  <c r="R79" i="42"/>
  <c r="Q79" i="42"/>
  <c r="P79" i="42"/>
  <c r="O79" i="42"/>
  <c r="N79" i="42"/>
  <c r="M79" i="42"/>
  <c r="L79" i="42"/>
  <c r="K79" i="42"/>
  <c r="J79" i="42"/>
  <c r="I79" i="42"/>
  <c r="H79" i="42"/>
  <c r="G79" i="42"/>
  <c r="F79" i="42"/>
  <c r="E79" i="42"/>
  <c r="D79" i="42"/>
  <c r="C79" i="42"/>
  <c r="B79" i="42"/>
  <c r="A79" i="42"/>
  <c r="Y78" i="42"/>
  <c r="X78" i="42"/>
  <c r="W78" i="42"/>
  <c r="V78" i="42"/>
  <c r="U78" i="42"/>
  <c r="T78" i="42"/>
  <c r="S78" i="42"/>
  <c r="R78" i="42"/>
  <c r="Q78" i="42"/>
  <c r="P78" i="42"/>
  <c r="O78" i="42"/>
  <c r="N78" i="42"/>
  <c r="M78" i="42"/>
  <c r="L78" i="42"/>
  <c r="K78" i="42"/>
  <c r="J78" i="42"/>
  <c r="I78" i="42"/>
  <c r="H78" i="42"/>
  <c r="G78" i="42"/>
  <c r="F78" i="42"/>
  <c r="E78" i="42"/>
  <c r="D78" i="42"/>
  <c r="C78" i="42"/>
  <c r="B78" i="42"/>
  <c r="A78" i="42"/>
  <c r="Y76" i="42"/>
  <c r="X76" i="42"/>
  <c r="W76" i="42"/>
  <c r="V76" i="42"/>
  <c r="U76" i="42"/>
  <c r="T76" i="42"/>
  <c r="S76" i="42"/>
  <c r="R76" i="42"/>
  <c r="Q76" i="42"/>
  <c r="P76" i="42"/>
  <c r="O76" i="42"/>
  <c r="N76" i="42"/>
  <c r="M76" i="42"/>
  <c r="L76" i="42"/>
  <c r="K76" i="42"/>
  <c r="J76" i="42"/>
  <c r="I76" i="42"/>
  <c r="H76" i="42"/>
  <c r="G76" i="42"/>
  <c r="F76" i="42"/>
  <c r="E76" i="42"/>
  <c r="D76" i="42"/>
  <c r="C76" i="42"/>
  <c r="B76" i="42"/>
  <c r="A76" i="42"/>
  <c r="Y75" i="42"/>
  <c r="X75" i="42"/>
  <c r="W75" i="42"/>
  <c r="V75" i="42"/>
  <c r="U75" i="42"/>
  <c r="T75" i="42"/>
  <c r="S75" i="42"/>
  <c r="R75" i="42"/>
  <c r="Q75" i="42"/>
  <c r="P75" i="42"/>
  <c r="O75" i="42"/>
  <c r="N75" i="42"/>
  <c r="M75" i="42"/>
  <c r="L75" i="42"/>
  <c r="K75" i="42"/>
  <c r="J75" i="42"/>
  <c r="I75" i="42"/>
  <c r="H75" i="42"/>
  <c r="G75" i="42"/>
  <c r="F75" i="42"/>
  <c r="E75" i="42"/>
  <c r="D75" i="42"/>
  <c r="C75" i="42"/>
  <c r="B75" i="42"/>
  <c r="A75" i="42"/>
  <c r="Y74" i="42"/>
  <c r="X74" i="42"/>
  <c r="W74" i="42"/>
  <c r="V74" i="42"/>
  <c r="U74" i="42"/>
  <c r="T74" i="42"/>
  <c r="S74" i="42"/>
  <c r="R74" i="42"/>
  <c r="Q74" i="42"/>
  <c r="P74" i="42"/>
  <c r="O74" i="42"/>
  <c r="N74" i="42"/>
  <c r="M74" i="42"/>
  <c r="L74" i="42"/>
  <c r="K74" i="42"/>
  <c r="J74" i="42"/>
  <c r="I74" i="42"/>
  <c r="H74" i="42"/>
  <c r="G74" i="42"/>
  <c r="F74" i="42"/>
  <c r="E74" i="42"/>
  <c r="D74" i="42"/>
  <c r="C74" i="42"/>
  <c r="B74" i="42"/>
  <c r="A74" i="42"/>
  <c r="Y73" i="42"/>
  <c r="X73" i="42"/>
  <c r="W73" i="42"/>
  <c r="V73" i="42"/>
  <c r="U73" i="42"/>
  <c r="T73" i="42"/>
  <c r="S73" i="42"/>
  <c r="R73" i="42"/>
  <c r="Q73" i="42"/>
  <c r="P73" i="42"/>
  <c r="O73" i="42"/>
  <c r="N73" i="42"/>
  <c r="M73" i="42"/>
  <c r="L73" i="42"/>
  <c r="K73" i="42"/>
  <c r="J73" i="42"/>
  <c r="I73" i="42"/>
  <c r="H73" i="42"/>
  <c r="G73" i="42"/>
  <c r="F73" i="42"/>
  <c r="E73" i="42"/>
  <c r="D73" i="42"/>
  <c r="C73" i="42"/>
  <c r="B73" i="42"/>
  <c r="A73" i="42"/>
  <c r="Y72" i="42"/>
  <c r="X72" i="42"/>
  <c r="W72" i="42"/>
  <c r="V72" i="42"/>
  <c r="U72" i="42"/>
  <c r="T72" i="42"/>
  <c r="S72" i="42"/>
  <c r="R72" i="42"/>
  <c r="Q72" i="42"/>
  <c r="P72" i="42"/>
  <c r="O72" i="42"/>
  <c r="N72" i="42"/>
  <c r="M72" i="42"/>
  <c r="L72" i="42"/>
  <c r="K72" i="42"/>
  <c r="J72" i="42"/>
  <c r="I72" i="42"/>
  <c r="H72" i="42"/>
  <c r="G72" i="42"/>
  <c r="F72" i="42"/>
  <c r="E72" i="42"/>
  <c r="D72" i="42"/>
  <c r="C72" i="42"/>
  <c r="B72" i="42"/>
  <c r="A72" i="42"/>
  <c r="Y71" i="42"/>
  <c r="X71" i="42"/>
  <c r="W71" i="42"/>
  <c r="V71" i="42"/>
  <c r="U71" i="42"/>
  <c r="T71" i="42"/>
  <c r="S71" i="42"/>
  <c r="R71" i="42"/>
  <c r="Q71" i="42"/>
  <c r="P71" i="42"/>
  <c r="O71" i="42"/>
  <c r="N71" i="42"/>
  <c r="M71" i="42"/>
  <c r="L71" i="42"/>
  <c r="K71" i="42"/>
  <c r="J71" i="42"/>
  <c r="I71" i="42"/>
  <c r="H71" i="42"/>
  <c r="G71" i="42"/>
  <c r="F71" i="42"/>
  <c r="E71" i="42"/>
  <c r="D71" i="42"/>
  <c r="C71" i="42"/>
  <c r="B71" i="42"/>
  <c r="A71" i="42"/>
  <c r="Y70" i="42"/>
  <c r="X70" i="42"/>
  <c r="W70" i="42"/>
  <c r="V70" i="42"/>
  <c r="U70" i="42"/>
  <c r="T70" i="42"/>
  <c r="S70" i="42"/>
  <c r="R70" i="42"/>
  <c r="Q70" i="42"/>
  <c r="P70" i="42"/>
  <c r="O70" i="42"/>
  <c r="N70" i="42"/>
  <c r="M70" i="42"/>
  <c r="L70" i="42"/>
  <c r="K70" i="42"/>
  <c r="J70" i="42"/>
  <c r="I70" i="42"/>
  <c r="H70" i="42"/>
  <c r="G70" i="42"/>
  <c r="F70" i="42"/>
  <c r="E70" i="42"/>
  <c r="D70" i="42"/>
  <c r="C70" i="42"/>
  <c r="B70" i="42"/>
  <c r="A70" i="42"/>
  <c r="Y69" i="42"/>
  <c r="X69" i="42"/>
  <c r="W69" i="42"/>
  <c r="V69" i="42"/>
  <c r="U69" i="42"/>
  <c r="T69" i="42"/>
  <c r="S69" i="42"/>
  <c r="R69" i="42"/>
  <c r="Q69" i="42"/>
  <c r="P69" i="42"/>
  <c r="O69" i="42"/>
  <c r="N69" i="42"/>
  <c r="M69" i="42"/>
  <c r="L69" i="42"/>
  <c r="K69" i="42"/>
  <c r="J69" i="42"/>
  <c r="I69" i="42"/>
  <c r="H69" i="42"/>
  <c r="G69" i="42"/>
  <c r="F69" i="42"/>
  <c r="E69" i="42"/>
  <c r="D69" i="42"/>
  <c r="C69" i="42"/>
  <c r="B69" i="42"/>
  <c r="A69" i="42"/>
  <c r="AG52" i="42"/>
  <c r="X35" i="42"/>
  <c r="V35" i="42"/>
  <c r="V59" i="42" s="1"/>
  <c r="U35" i="42"/>
  <c r="U59" i="42" s="1"/>
  <c r="T35" i="42"/>
  <c r="T49" i="42" s="1"/>
  <c r="S35" i="42"/>
  <c r="S55" i="42" s="1"/>
  <c r="W30" i="42"/>
  <c r="V30" i="42"/>
  <c r="U30" i="42"/>
  <c r="T30" i="42"/>
  <c r="S30" i="42"/>
  <c r="O30" i="42"/>
  <c r="L30" i="42"/>
  <c r="I30" i="42"/>
  <c r="F30" i="42"/>
  <c r="W26" i="42"/>
  <c r="V26" i="42"/>
  <c r="U26" i="42"/>
  <c r="T26" i="42"/>
  <c r="S26" i="42"/>
  <c r="O26" i="42"/>
  <c r="L26" i="42"/>
  <c r="I26" i="42"/>
  <c r="F26" i="42"/>
  <c r="Y24" i="42"/>
  <c r="X24" i="42"/>
  <c r="W24" i="42"/>
  <c r="S24" i="42"/>
  <c r="R24" i="42"/>
  <c r="Q24" i="42"/>
  <c r="P24" i="42"/>
  <c r="O24" i="42"/>
  <c r="N24" i="42"/>
  <c r="M24" i="42"/>
  <c r="L24" i="42"/>
  <c r="K24" i="42"/>
  <c r="J24" i="42"/>
  <c r="I24" i="42"/>
  <c r="H24" i="42"/>
  <c r="G24" i="42"/>
  <c r="F24" i="42"/>
  <c r="E24" i="42"/>
  <c r="D24" i="42"/>
  <c r="C24" i="42"/>
  <c r="B24" i="42"/>
  <c r="Y19" i="42"/>
  <c r="F35" i="42"/>
  <c r="V18" i="42"/>
  <c r="U18" i="42"/>
  <c r="T18" i="42"/>
  <c r="S18" i="42"/>
  <c r="R18" i="42"/>
  <c r="Q18" i="42"/>
  <c r="P18" i="42"/>
  <c r="C15" i="42"/>
  <c r="D15" i="42" s="1"/>
  <c r="E15" i="42" s="1"/>
  <c r="F15" i="42" s="1"/>
  <c r="G15" i="42" s="1"/>
  <c r="H15" i="42" s="1"/>
  <c r="I15" i="42" s="1"/>
  <c r="J15" i="42" s="1"/>
  <c r="K15" i="42" s="1"/>
  <c r="L15" i="42" s="1"/>
  <c r="M15" i="42" s="1"/>
  <c r="N15" i="42" s="1"/>
  <c r="O15" i="42" s="1"/>
  <c r="P15" i="42" s="1"/>
  <c r="Q15" i="42" s="1"/>
  <c r="R15" i="42" s="1"/>
  <c r="S15" i="42" s="1"/>
  <c r="T15" i="42" s="1"/>
  <c r="U15" i="42" s="1"/>
  <c r="V15" i="42" s="1"/>
  <c r="W15" i="42" s="1"/>
  <c r="X15" i="42" s="1"/>
  <c r="B11" i="42"/>
  <c r="B30" i="42" s="1"/>
  <c r="B10" i="42"/>
  <c r="U24" i="42" s="1"/>
  <c r="B9" i="42"/>
  <c r="G23" i="42" s="1"/>
  <c r="B7" i="42"/>
  <c r="B8" i="42" s="1"/>
  <c r="B3" i="42"/>
  <c r="P36" i="42"/>
  <c r="P34" i="42" s="1"/>
  <c r="P37" i="42" s="1"/>
  <c r="W35" i="42"/>
  <c r="W59" i="42" s="1"/>
  <c r="FN50" i="34"/>
  <c r="FM50" i="34"/>
  <c r="FL50" i="34"/>
  <c r="FK50" i="34"/>
  <c r="FJ50" i="34"/>
  <c r="FI50" i="34"/>
  <c r="FH50" i="34"/>
  <c r="FG50" i="34"/>
  <c r="FF50" i="34"/>
  <c r="FE50" i="34"/>
  <c r="FD50" i="34"/>
  <c r="FC50" i="34"/>
  <c r="FB50" i="34"/>
  <c r="FA50" i="34"/>
  <c r="EZ50" i="34"/>
  <c r="EY50" i="34"/>
  <c r="EX50" i="34"/>
  <c r="EW50" i="34"/>
  <c r="EV50" i="34"/>
  <c r="EU50" i="34"/>
  <c r="ET50" i="34"/>
  <c r="ES50" i="34"/>
  <c r="ER50" i="34"/>
  <c r="EQ50" i="34"/>
  <c r="EP50" i="34"/>
  <c r="EO50" i="34"/>
  <c r="EN50" i="34"/>
  <c r="EM50" i="34"/>
  <c r="EL50" i="34"/>
  <c r="EK50" i="34"/>
  <c r="EJ50" i="34"/>
  <c r="EI50" i="34"/>
  <c r="EH50" i="34"/>
  <c r="EG50" i="34"/>
  <c r="EF50" i="34"/>
  <c r="EE50" i="34"/>
  <c r="ED50" i="34"/>
  <c r="EC50" i="34"/>
  <c r="EB50" i="34"/>
  <c r="EA50" i="34"/>
  <c r="DZ50" i="34"/>
  <c r="DY50" i="34"/>
  <c r="DX50" i="34"/>
  <c r="DW50" i="34"/>
  <c r="DV50" i="34"/>
  <c r="DU50" i="34"/>
  <c r="DT50" i="34"/>
  <c r="DS50" i="34"/>
  <c r="DR50" i="34"/>
  <c r="DQ50" i="34"/>
  <c r="DP50" i="34"/>
  <c r="DO50" i="34"/>
  <c r="DN50" i="34"/>
  <c r="DM50" i="34"/>
  <c r="DL50" i="34"/>
  <c r="DK50" i="34"/>
  <c r="DJ50" i="34"/>
  <c r="DI50" i="34"/>
  <c r="DH50" i="34"/>
  <c r="DG50" i="34"/>
  <c r="DF50" i="34"/>
  <c r="DE50" i="34"/>
  <c r="DD50" i="34"/>
  <c r="DC50" i="34"/>
  <c r="DB50" i="34"/>
  <c r="DA50" i="34"/>
  <c r="CZ50" i="34"/>
  <c r="CY50" i="34"/>
  <c r="CX50" i="34"/>
  <c r="CW50" i="34"/>
  <c r="CV50" i="34"/>
  <c r="CU50" i="34"/>
  <c r="CT50" i="34"/>
  <c r="CS50" i="34"/>
  <c r="CR50" i="34"/>
  <c r="CQ50" i="34"/>
  <c r="CP50" i="34"/>
  <c r="CK50" i="34"/>
  <c r="CJ50" i="34"/>
  <c r="CI50" i="34"/>
  <c r="CH50" i="34"/>
  <c r="CG50" i="34"/>
  <c r="CF50" i="34"/>
  <c r="CE50" i="34"/>
  <c r="CD50" i="34"/>
  <c r="CC50" i="34"/>
  <c r="CB50" i="34"/>
  <c r="CA50" i="34"/>
  <c r="BZ50" i="34"/>
  <c r="BY50" i="34"/>
  <c r="BX50" i="34"/>
  <c r="BW50" i="34"/>
  <c r="BV50" i="34"/>
  <c r="BU50" i="34"/>
  <c r="BT50" i="34"/>
  <c r="BS50" i="34"/>
  <c r="BR50" i="34"/>
  <c r="BQ50" i="34"/>
  <c r="BP50" i="34"/>
  <c r="BO50" i="34"/>
  <c r="BN50" i="34"/>
  <c r="BM50" i="34"/>
  <c r="BL50" i="34"/>
  <c r="BK50" i="34"/>
  <c r="BJ50" i="34"/>
  <c r="BI50" i="34"/>
  <c r="BH50" i="34"/>
  <c r="BG50" i="34"/>
  <c r="BF50" i="34"/>
  <c r="BE50" i="34"/>
  <c r="BD50" i="34"/>
  <c r="BC50" i="34"/>
  <c r="BB50" i="34"/>
  <c r="BA50" i="34"/>
  <c r="AZ50" i="34"/>
  <c r="AY50" i="34"/>
  <c r="AX50"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FN49" i="34"/>
  <c r="FM49" i="34"/>
  <c r="FL49" i="34"/>
  <c r="FK49" i="34"/>
  <c r="FJ49" i="34"/>
  <c r="FI49" i="34"/>
  <c r="FH49" i="34"/>
  <c r="FG49" i="34"/>
  <c r="FF49" i="34"/>
  <c r="FE49" i="34"/>
  <c r="FD49" i="34"/>
  <c r="FC49" i="34"/>
  <c r="FB49" i="34"/>
  <c r="FA49" i="34"/>
  <c r="EZ49" i="34"/>
  <c r="EY49" i="34"/>
  <c r="EX49" i="34"/>
  <c r="EW49" i="34"/>
  <c r="EV49" i="34"/>
  <c r="EU49" i="34"/>
  <c r="ET49" i="34"/>
  <c r="ES49" i="34"/>
  <c r="ER49" i="34"/>
  <c r="EQ49" i="34"/>
  <c r="EP49" i="34"/>
  <c r="EO49" i="34"/>
  <c r="EN49" i="34"/>
  <c r="EM49" i="34"/>
  <c r="EL49" i="34"/>
  <c r="EK49" i="34"/>
  <c r="EJ49" i="34"/>
  <c r="EI49" i="34"/>
  <c r="EH49" i="34"/>
  <c r="EG49" i="34"/>
  <c r="EF49" i="34"/>
  <c r="EE49" i="34"/>
  <c r="ED49" i="34"/>
  <c r="EC49" i="34"/>
  <c r="EB49" i="34"/>
  <c r="EA49" i="34"/>
  <c r="DZ49" i="34"/>
  <c r="DY49" i="34"/>
  <c r="DX49" i="34"/>
  <c r="DW49" i="34"/>
  <c r="DV49" i="34"/>
  <c r="DU49" i="34"/>
  <c r="DT49" i="34"/>
  <c r="DS49" i="34"/>
  <c r="DR49" i="34"/>
  <c r="DQ49" i="34"/>
  <c r="DP49" i="34"/>
  <c r="DO49" i="34"/>
  <c r="DN49" i="34"/>
  <c r="DM49" i="34"/>
  <c r="DL49" i="34"/>
  <c r="DK49" i="34"/>
  <c r="DJ49" i="34"/>
  <c r="DI49" i="34"/>
  <c r="DH49" i="34"/>
  <c r="DG49" i="34"/>
  <c r="DF49" i="34"/>
  <c r="DE49" i="34"/>
  <c r="DD49" i="34"/>
  <c r="DC49" i="34"/>
  <c r="DB49" i="34"/>
  <c r="DA49" i="34"/>
  <c r="CZ49" i="34"/>
  <c r="CY49" i="34"/>
  <c r="CX49" i="34"/>
  <c r="CW49" i="34"/>
  <c r="CV49" i="34"/>
  <c r="CU49" i="34"/>
  <c r="CT49" i="34"/>
  <c r="CS49" i="34"/>
  <c r="CR49" i="34"/>
  <c r="CQ49" i="34"/>
  <c r="CP49" i="34"/>
  <c r="CK49" i="34"/>
  <c r="CJ49" i="34"/>
  <c r="CI49" i="34"/>
  <c r="CH49" i="34"/>
  <c r="CG49" i="34"/>
  <c r="CF49" i="34"/>
  <c r="CE49" i="34"/>
  <c r="CD49" i="34"/>
  <c r="CC49" i="34"/>
  <c r="CB49" i="34"/>
  <c r="CA49" i="34"/>
  <c r="BZ49" i="34"/>
  <c r="BY49" i="34"/>
  <c r="BX49" i="34"/>
  <c r="BW49" i="34"/>
  <c r="BV49" i="34"/>
  <c r="BU49" i="34"/>
  <c r="BT49" i="34"/>
  <c r="BS49" i="34"/>
  <c r="BR49" i="34"/>
  <c r="BQ49" i="34"/>
  <c r="BP49" i="34"/>
  <c r="BO49" i="34"/>
  <c r="BN49" i="34"/>
  <c r="BM49" i="34"/>
  <c r="BL49" i="34"/>
  <c r="BK49" i="34"/>
  <c r="BJ49" i="34"/>
  <c r="BI49" i="34"/>
  <c r="BH49" i="34"/>
  <c r="BG49" i="34"/>
  <c r="BF49" i="34"/>
  <c r="BE49" i="34"/>
  <c r="BD49" i="34"/>
  <c r="BC49" i="34"/>
  <c r="BB49" i="34"/>
  <c r="BA49" i="34"/>
  <c r="AZ49" i="34"/>
  <c r="AY49" i="34"/>
  <c r="AX49" i="34"/>
  <c r="AW49" i="34"/>
  <c r="AV49" i="34"/>
  <c r="AU49" i="34"/>
  <c r="AT49" i="34"/>
  <c r="AS49" i="34"/>
  <c r="AR49" i="34"/>
  <c r="AQ49" i="34"/>
  <c r="AP49" i="34"/>
  <c r="AO49" i="34"/>
  <c r="AN49" i="34"/>
  <c r="AM49" i="34"/>
  <c r="AL49" i="34"/>
  <c r="AK49" i="34"/>
  <c r="AJ49" i="34"/>
  <c r="AI49" i="34"/>
  <c r="AH49" i="34"/>
  <c r="AG49" i="34"/>
  <c r="AF49" i="34"/>
  <c r="AE49" i="34"/>
  <c r="AD49" i="34"/>
  <c r="AC49" i="34"/>
  <c r="AB49" i="34"/>
  <c r="AA49" i="34"/>
  <c r="Z49" i="34"/>
  <c r="Y49" i="34"/>
  <c r="X49" i="34"/>
  <c r="W49" i="34"/>
  <c r="V49" i="34"/>
  <c r="U49" i="34"/>
  <c r="T49" i="34"/>
  <c r="S49" i="34"/>
  <c r="R49" i="34"/>
  <c r="Q49" i="34"/>
  <c r="P49" i="34"/>
  <c r="O49" i="34"/>
  <c r="N49" i="34"/>
  <c r="FN48" i="34"/>
  <c r="FM48" i="34"/>
  <c r="FL48" i="34"/>
  <c r="FK48" i="34"/>
  <c r="FJ48" i="34"/>
  <c r="FI48" i="34"/>
  <c r="FH48" i="34"/>
  <c r="FG48" i="34"/>
  <c r="FF48" i="34"/>
  <c r="FE48" i="34"/>
  <c r="FD48" i="34"/>
  <c r="FC48" i="34"/>
  <c r="FB48" i="34"/>
  <c r="FA48" i="34"/>
  <c r="EZ48" i="34"/>
  <c r="EY48" i="34"/>
  <c r="EX48" i="34"/>
  <c r="EW48" i="34"/>
  <c r="EV48" i="34"/>
  <c r="EU48" i="34"/>
  <c r="ET48" i="34"/>
  <c r="ES48" i="34"/>
  <c r="ER48" i="34"/>
  <c r="EQ48" i="34"/>
  <c r="EP48" i="34"/>
  <c r="EO48" i="34"/>
  <c r="EN48" i="34"/>
  <c r="EM48" i="34"/>
  <c r="EL48" i="34"/>
  <c r="EK48" i="34"/>
  <c r="EJ48" i="34"/>
  <c r="EI48" i="34"/>
  <c r="EH48" i="34"/>
  <c r="EG48" i="34"/>
  <c r="EF48" i="34"/>
  <c r="EE48" i="34"/>
  <c r="ED48" i="34"/>
  <c r="EC48" i="34"/>
  <c r="EB48" i="34"/>
  <c r="EA48" i="34"/>
  <c r="DZ48" i="34"/>
  <c r="DY48" i="34"/>
  <c r="DX48" i="34"/>
  <c r="DW48" i="34"/>
  <c r="DV48" i="34"/>
  <c r="DU48" i="34"/>
  <c r="DT48" i="34"/>
  <c r="DS48" i="34"/>
  <c r="DR48" i="34"/>
  <c r="DQ48" i="34"/>
  <c r="DP48" i="34"/>
  <c r="DO48" i="34"/>
  <c r="DN48" i="34"/>
  <c r="DM48" i="34"/>
  <c r="DL48" i="34"/>
  <c r="DK48" i="34"/>
  <c r="DJ48" i="34"/>
  <c r="DI48" i="34"/>
  <c r="DH48" i="34"/>
  <c r="DG48" i="34"/>
  <c r="DF48" i="34"/>
  <c r="DE48" i="34"/>
  <c r="DD48" i="34"/>
  <c r="DC48" i="34"/>
  <c r="DB48" i="34"/>
  <c r="DA48" i="34"/>
  <c r="CZ48" i="34"/>
  <c r="CY48" i="34"/>
  <c r="CX48" i="34"/>
  <c r="CW48" i="34"/>
  <c r="CV48" i="34"/>
  <c r="CU48" i="34"/>
  <c r="CT48" i="34"/>
  <c r="CS48" i="34"/>
  <c r="CR48" i="34"/>
  <c r="CQ48" i="34"/>
  <c r="CP48" i="34"/>
  <c r="CK48" i="34"/>
  <c r="CJ48" i="34"/>
  <c r="CI48" i="34"/>
  <c r="CH48" i="34"/>
  <c r="CG48" i="34"/>
  <c r="CF48" i="34"/>
  <c r="CE48" i="34"/>
  <c r="CD48" i="34"/>
  <c r="CC48" i="34"/>
  <c r="CB48" i="34"/>
  <c r="CA48" i="34"/>
  <c r="BZ48" i="34"/>
  <c r="BY48" i="34"/>
  <c r="BX48" i="34"/>
  <c r="BW48" i="34"/>
  <c r="BV48" i="34"/>
  <c r="BU48" i="34"/>
  <c r="BT48" i="34"/>
  <c r="BS48" i="34"/>
  <c r="BR48" i="34"/>
  <c r="BQ48" i="34"/>
  <c r="BP48" i="34"/>
  <c r="BO48" i="34"/>
  <c r="BN48" i="34"/>
  <c r="BM48" i="34"/>
  <c r="BL48" i="34"/>
  <c r="BK48" i="34"/>
  <c r="BJ48" i="34"/>
  <c r="BI48" i="34"/>
  <c r="BH48" i="34"/>
  <c r="BG48" i="34"/>
  <c r="BF48" i="34"/>
  <c r="BE48" i="34"/>
  <c r="BD48" i="34"/>
  <c r="BC48" i="34"/>
  <c r="BB48" i="34"/>
  <c r="BA48" i="34"/>
  <c r="AZ48" i="34"/>
  <c r="AY48" i="34"/>
  <c r="AX48"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R48" i="34"/>
  <c r="Q48" i="34"/>
  <c r="P48" i="34"/>
  <c r="O48" i="34"/>
  <c r="N48" i="34"/>
  <c r="FN47" i="34"/>
  <c r="FM47" i="34"/>
  <c r="FL47" i="34"/>
  <c r="FK47" i="34"/>
  <c r="FJ47" i="34"/>
  <c r="FI47" i="34"/>
  <c r="FH47" i="34"/>
  <c r="FG47" i="34"/>
  <c r="FF47" i="34"/>
  <c r="FE47" i="34"/>
  <c r="FD47" i="34"/>
  <c r="FC47" i="34"/>
  <c r="FB47" i="34"/>
  <c r="FA47" i="34"/>
  <c r="EZ47" i="34"/>
  <c r="EY47" i="34"/>
  <c r="EX47" i="34"/>
  <c r="EW47" i="34"/>
  <c r="EV47" i="34"/>
  <c r="EU47" i="34"/>
  <c r="ET47" i="34"/>
  <c r="ES47" i="34"/>
  <c r="ER47" i="34"/>
  <c r="EQ47" i="34"/>
  <c r="EP47" i="34"/>
  <c r="EO47" i="34"/>
  <c r="EN47" i="34"/>
  <c r="EM47" i="34"/>
  <c r="EL47" i="34"/>
  <c r="EK47" i="34"/>
  <c r="EJ47" i="34"/>
  <c r="EI47" i="34"/>
  <c r="EH47" i="34"/>
  <c r="EG47" i="34"/>
  <c r="EF47" i="34"/>
  <c r="EE47" i="34"/>
  <c r="ED47" i="34"/>
  <c r="EC47" i="34"/>
  <c r="EB47" i="34"/>
  <c r="EA47" i="34"/>
  <c r="DZ47" i="34"/>
  <c r="DY47" i="34"/>
  <c r="DX47" i="34"/>
  <c r="DW47" i="34"/>
  <c r="DV47" i="34"/>
  <c r="DU47" i="34"/>
  <c r="DT47" i="34"/>
  <c r="DS47" i="34"/>
  <c r="DR47" i="34"/>
  <c r="DQ47" i="34"/>
  <c r="DP47" i="34"/>
  <c r="DO47" i="34"/>
  <c r="DN47" i="34"/>
  <c r="DM47" i="34"/>
  <c r="DL47" i="34"/>
  <c r="DK47" i="34"/>
  <c r="DJ47" i="34"/>
  <c r="DI47" i="34"/>
  <c r="DH47" i="34"/>
  <c r="DG47" i="34"/>
  <c r="DF47" i="34"/>
  <c r="DE47" i="34"/>
  <c r="DD47" i="34"/>
  <c r="DC47" i="34"/>
  <c r="DB47" i="34"/>
  <c r="DA47" i="34"/>
  <c r="CZ47" i="34"/>
  <c r="CY47" i="34"/>
  <c r="CX47" i="34"/>
  <c r="CW47" i="34"/>
  <c r="CV47" i="34"/>
  <c r="CU47" i="34"/>
  <c r="CT47" i="34"/>
  <c r="CS47" i="34"/>
  <c r="CR47" i="34"/>
  <c r="CQ47" i="34"/>
  <c r="CP47" i="34"/>
  <c r="CK47" i="34"/>
  <c r="CJ47" i="34"/>
  <c r="CI47" i="34"/>
  <c r="CH47" i="34"/>
  <c r="CG47" i="34"/>
  <c r="CF47" i="34"/>
  <c r="CE47" i="34"/>
  <c r="CD47" i="34"/>
  <c r="CC47" i="34"/>
  <c r="CB47" i="34"/>
  <c r="CA47" i="34"/>
  <c r="BZ47" i="34"/>
  <c r="BY47" i="34"/>
  <c r="BX47" i="34"/>
  <c r="BW47" i="34"/>
  <c r="BV47" i="34"/>
  <c r="BU47" i="34"/>
  <c r="BT47" i="34"/>
  <c r="BS47" i="34"/>
  <c r="BR47" i="34"/>
  <c r="BQ47" i="34"/>
  <c r="BP47" i="34"/>
  <c r="BO47" i="34"/>
  <c r="BN47" i="34"/>
  <c r="BM47" i="34"/>
  <c r="BL47" i="34"/>
  <c r="BK47" i="34"/>
  <c r="BJ47" i="34"/>
  <c r="BI47" i="34"/>
  <c r="BH47" i="34"/>
  <c r="BG47" i="34"/>
  <c r="BF47" i="34"/>
  <c r="BE47" i="34"/>
  <c r="BD47" i="34"/>
  <c r="BC47" i="34"/>
  <c r="BB47" i="34"/>
  <c r="BA47" i="34"/>
  <c r="AZ47" i="34"/>
  <c r="AY47" i="34"/>
  <c r="AX47"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FN46" i="34"/>
  <c r="FM46" i="34"/>
  <c r="FL46" i="34"/>
  <c r="FK46" i="34"/>
  <c r="FJ46" i="34"/>
  <c r="FI46" i="34"/>
  <c r="FH46" i="34"/>
  <c r="FG46" i="34"/>
  <c r="FF46" i="34"/>
  <c r="FE46" i="34"/>
  <c r="FD46" i="34"/>
  <c r="FC46" i="34"/>
  <c r="FB46" i="34"/>
  <c r="FA46" i="34"/>
  <c r="EZ46" i="34"/>
  <c r="EY46" i="34"/>
  <c r="EX46" i="34"/>
  <c r="EW46" i="34"/>
  <c r="EV46" i="34"/>
  <c r="EU46" i="34"/>
  <c r="ET46" i="34"/>
  <c r="ES46" i="34"/>
  <c r="ER46" i="34"/>
  <c r="EQ46" i="34"/>
  <c r="EP46" i="34"/>
  <c r="EO46" i="34"/>
  <c r="EN46" i="34"/>
  <c r="EM46" i="34"/>
  <c r="EL46" i="34"/>
  <c r="EK46" i="34"/>
  <c r="EJ46" i="34"/>
  <c r="EI46" i="34"/>
  <c r="EH46" i="34"/>
  <c r="EG46" i="34"/>
  <c r="EF46" i="34"/>
  <c r="EE46" i="34"/>
  <c r="ED46" i="34"/>
  <c r="EC46" i="34"/>
  <c r="EB46" i="34"/>
  <c r="EA46" i="34"/>
  <c r="DZ46" i="34"/>
  <c r="DY46" i="34"/>
  <c r="DX46" i="34"/>
  <c r="DW46" i="34"/>
  <c r="DV46" i="34"/>
  <c r="DU46" i="34"/>
  <c r="DT46" i="34"/>
  <c r="DS46" i="34"/>
  <c r="DR46" i="34"/>
  <c r="DQ46" i="34"/>
  <c r="DP46" i="34"/>
  <c r="DO46" i="34"/>
  <c r="DN46" i="34"/>
  <c r="DM46" i="34"/>
  <c r="DL46" i="34"/>
  <c r="DK46" i="34"/>
  <c r="DJ46" i="34"/>
  <c r="DI46" i="34"/>
  <c r="DH46" i="34"/>
  <c r="DG46" i="34"/>
  <c r="DF46" i="34"/>
  <c r="DE46" i="34"/>
  <c r="DD46" i="34"/>
  <c r="DC46" i="34"/>
  <c r="DB46" i="34"/>
  <c r="DA46" i="34"/>
  <c r="CZ46" i="34"/>
  <c r="CY46" i="34"/>
  <c r="CX46" i="34"/>
  <c r="CW46" i="34"/>
  <c r="CV46" i="34"/>
  <c r="CU46" i="34"/>
  <c r="CT46" i="34"/>
  <c r="CS46" i="34"/>
  <c r="CR46" i="34"/>
  <c r="CQ46" i="34"/>
  <c r="CP46" i="34"/>
  <c r="CK46" i="34"/>
  <c r="CJ46" i="34"/>
  <c r="CI46" i="34"/>
  <c r="CH46" i="34"/>
  <c r="CG46" i="34"/>
  <c r="CF46" i="34"/>
  <c r="CE46" i="34"/>
  <c r="CD46" i="34"/>
  <c r="CC46" i="34"/>
  <c r="CB46" i="34"/>
  <c r="CA46" i="34"/>
  <c r="BZ46" i="34"/>
  <c r="BY46" i="34"/>
  <c r="BX46" i="34"/>
  <c r="BW46" i="34"/>
  <c r="BV46" i="34"/>
  <c r="BU46" i="34"/>
  <c r="BT46" i="34"/>
  <c r="BS46" i="34"/>
  <c r="BR46" i="34"/>
  <c r="BQ46" i="34"/>
  <c r="BP46" i="34"/>
  <c r="BO46" i="34"/>
  <c r="BN46" i="34"/>
  <c r="BM46" i="34"/>
  <c r="BL46" i="34"/>
  <c r="BK46" i="34"/>
  <c r="BJ46" i="34"/>
  <c r="BI46" i="34"/>
  <c r="BH46" i="34"/>
  <c r="BG46" i="34"/>
  <c r="BF46" i="34"/>
  <c r="BE46" i="34"/>
  <c r="BD46" i="34"/>
  <c r="BC46" i="34"/>
  <c r="BB46" i="34"/>
  <c r="BA46" i="34"/>
  <c r="AZ46" i="34"/>
  <c r="AY46" i="34"/>
  <c r="AX46" i="34"/>
  <c r="AW46" i="34"/>
  <c r="AV46" i="34"/>
  <c r="AU46" i="34"/>
  <c r="AT46" i="34"/>
  <c r="AS46" i="34"/>
  <c r="AR46" i="34"/>
  <c r="AQ46" i="34"/>
  <c r="AP46" i="34"/>
  <c r="AO46" i="34"/>
  <c r="AN46" i="34"/>
  <c r="AM46" i="34"/>
  <c r="AL46" i="34"/>
  <c r="AK46" i="34"/>
  <c r="AJ46" i="34"/>
  <c r="AI46" i="34"/>
  <c r="AH46" i="34"/>
  <c r="AG46" i="34"/>
  <c r="AF46" i="34"/>
  <c r="AE46" i="34"/>
  <c r="AD46" i="34"/>
  <c r="AC46" i="34"/>
  <c r="AB46" i="34"/>
  <c r="AA46" i="34"/>
  <c r="Z46" i="34"/>
  <c r="Y46" i="34"/>
  <c r="X46" i="34"/>
  <c r="W46" i="34"/>
  <c r="V46" i="34"/>
  <c r="U46" i="34"/>
  <c r="T46" i="34"/>
  <c r="S46" i="34"/>
  <c r="R46" i="34"/>
  <c r="Q46" i="34"/>
  <c r="P46" i="34"/>
  <c r="O46" i="34"/>
  <c r="N46" i="34"/>
  <c r="FN45" i="34"/>
  <c r="FM45" i="34"/>
  <c r="FL45" i="34"/>
  <c r="FK45" i="34"/>
  <c r="FJ45" i="34"/>
  <c r="FI45" i="34"/>
  <c r="FH45" i="34"/>
  <c r="FG45" i="34"/>
  <c r="FF45" i="34"/>
  <c r="FE45" i="34"/>
  <c r="FD45" i="34"/>
  <c r="FC45" i="34"/>
  <c r="FB45" i="34"/>
  <c r="FA45" i="34"/>
  <c r="EZ45" i="34"/>
  <c r="EY45" i="34"/>
  <c r="EX45" i="34"/>
  <c r="EW45" i="34"/>
  <c r="EV45" i="34"/>
  <c r="EU45" i="34"/>
  <c r="ET45" i="34"/>
  <c r="ES45" i="34"/>
  <c r="ER45" i="34"/>
  <c r="EQ45" i="34"/>
  <c r="EP45" i="34"/>
  <c r="EO45" i="34"/>
  <c r="EN45" i="34"/>
  <c r="EM45" i="34"/>
  <c r="EL45" i="34"/>
  <c r="EK45" i="34"/>
  <c r="EJ45" i="34"/>
  <c r="EI45" i="34"/>
  <c r="EH45" i="34"/>
  <c r="EG45" i="34"/>
  <c r="EF45" i="34"/>
  <c r="EE45" i="34"/>
  <c r="ED45" i="34"/>
  <c r="EC45" i="34"/>
  <c r="EB45" i="34"/>
  <c r="EA45" i="34"/>
  <c r="DZ45" i="34"/>
  <c r="DY45" i="34"/>
  <c r="DX45" i="34"/>
  <c r="DW45" i="34"/>
  <c r="DV45" i="34"/>
  <c r="DU45" i="34"/>
  <c r="DT45" i="34"/>
  <c r="DS45" i="34"/>
  <c r="DR45" i="34"/>
  <c r="DQ45" i="34"/>
  <c r="DP45" i="34"/>
  <c r="DO45" i="34"/>
  <c r="DN45" i="34"/>
  <c r="DM45" i="34"/>
  <c r="DL45" i="34"/>
  <c r="DK45" i="34"/>
  <c r="DJ45" i="34"/>
  <c r="DI45" i="34"/>
  <c r="DH45" i="34"/>
  <c r="DG45" i="34"/>
  <c r="DF45" i="34"/>
  <c r="DE45" i="34"/>
  <c r="DD45" i="34"/>
  <c r="DC45" i="34"/>
  <c r="DB45" i="34"/>
  <c r="DA45" i="34"/>
  <c r="CZ45" i="34"/>
  <c r="CY45" i="34"/>
  <c r="CX45" i="34"/>
  <c r="CW45" i="34"/>
  <c r="CV45" i="34"/>
  <c r="CU45" i="34"/>
  <c r="CT45" i="34"/>
  <c r="CS45" i="34"/>
  <c r="CR45" i="34"/>
  <c r="CQ45" i="34"/>
  <c r="CP45" i="34"/>
  <c r="CK45" i="34"/>
  <c r="CJ45" i="34"/>
  <c r="CI45" i="34"/>
  <c r="CH45"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FN44" i="34"/>
  <c r="FM44" i="34"/>
  <c r="FL44" i="34"/>
  <c r="FK44" i="34"/>
  <c r="FJ44" i="34"/>
  <c r="FI44" i="34"/>
  <c r="FH44" i="34"/>
  <c r="FG44" i="34"/>
  <c r="FF44" i="34"/>
  <c r="FE44" i="34"/>
  <c r="FD44" i="34"/>
  <c r="FC44" i="34"/>
  <c r="FB44" i="34"/>
  <c r="FA44" i="34"/>
  <c r="EZ44" i="34"/>
  <c r="EY44" i="34"/>
  <c r="EX44" i="34"/>
  <c r="EW44" i="34"/>
  <c r="EV44" i="34"/>
  <c r="EU44" i="34"/>
  <c r="ET44" i="34"/>
  <c r="ES44" i="34"/>
  <c r="ER44" i="34"/>
  <c r="EQ44" i="34"/>
  <c r="EP44" i="34"/>
  <c r="EO44" i="34"/>
  <c r="EN44" i="34"/>
  <c r="EM44" i="34"/>
  <c r="EL44" i="34"/>
  <c r="EK44" i="34"/>
  <c r="EJ44" i="34"/>
  <c r="EI44" i="34"/>
  <c r="EH44" i="34"/>
  <c r="EG44" i="34"/>
  <c r="EF44" i="34"/>
  <c r="EE44" i="34"/>
  <c r="ED44" i="34"/>
  <c r="EC44" i="34"/>
  <c r="EB44" i="34"/>
  <c r="EA44" i="34"/>
  <c r="DZ44" i="34"/>
  <c r="DY44" i="34"/>
  <c r="DX44" i="34"/>
  <c r="DW44" i="34"/>
  <c r="DV44" i="34"/>
  <c r="DU44" i="34"/>
  <c r="DT44" i="34"/>
  <c r="DS44" i="34"/>
  <c r="DR44" i="34"/>
  <c r="DQ44" i="34"/>
  <c r="DP44" i="34"/>
  <c r="DO44" i="34"/>
  <c r="DN44" i="34"/>
  <c r="DM44" i="34"/>
  <c r="DL44" i="34"/>
  <c r="DK44" i="34"/>
  <c r="DJ44" i="34"/>
  <c r="DI44" i="34"/>
  <c r="DH44" i="34"/>
  <c r="DG44" i="34"/>
  <c r="DF44" i="34"/>
  <c r="DE44" i="34"/>
  <c r="DD44" i="34"/>
  <c r="DC44" i="34"/>
  <c r="DB44" i="34"/>
  <c r="DA44" i="34"/>
  <c r="CZ44" i="34"/>
  <c r="CY44" i="34"/>
  <c r="CX44" i="34"/>
  <c r="CW44" i="34"/>
  <c r="CV44" i="34"/>
  <c r="CU44" i="34"/>
  <c r="CT44" i="34"/>
  <c r="CS44" i="34"/>
  <c r="CR44" i="34"/>
  <c r="CQ44" i="34"/>
  <c r="CP44" i="34"/>
  <c r="CK44" i="34"/>
  <c r="CJ44" i="34"/>
  <c r="CI44" i="34"/>
  <c r="CH44" i="34"/>
  <c r="CG44" i="34"/>
  <c r="CF44" i="34"/>
  <c r="CE44" i="34"/>
  <c r="CD44" i="34"/>
  <c r="CC44" i="34"/>
  <c r="CB44" i="34"/>
  <c r="CA44" i="34"/>
  <c r="BZ44" i="34"/>
  <c r="BY44" i="34"/>
  <c r="BX44" i="34"/>
  <c r="BW44" i="34"/>
  <c r="BV44" i="34"/>
  <c r="BU44" i="34"/>
  <c r="BT44" i="34"/>
  <c r="BS44" i="34"/>
  <c r="BR44" i="34"/>
  <c r="BQ44" i="34"/>
  <c r="BP44" i="34"/>
  <c r="BO44" i="34"/>
  <c r="BN44" i="34"/>
  <c r="BM44" i="34"/>
  <c r="BL44" i="34"/>
  <c r="BK44" i="34"/>
  <c r="BJ44" i="34"/>
  <c r="BI44" i="34"/>
  <c r="BH44" i="34"/>
  <c r="BG44" i="34"/>
  <c r="BF44" i="34"/>
  <c r="BE44" i="34"/>
  <c r="BD44" i="34"/>
  <c r="BC44" i="34"/>
  <c r="BB44" i="34"/>
  <c r="BA44" i="34"/>
  <c r="AZ44" i="34"/>
  <c r="AY44" i="34"/>
  <c r="AX44"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R44" i="34"/>
  <c r="Q44" i="34"/>
  <c r="P44" i="34"/>
  <c r="O44" i="34"/>
  <c r="N44" i="34"/>
  <c r="FN43" i="34"/>
  <c r="FM43" i="34"/>
  <c r="FL43" i="34"/>
  <c r="FK43" i="34"/>
  <c r="FJ43" i="34"/>
  <c r="FI43" i="34"/>
  <c r="FH43" i="34"/>
  <c r="FG43" i="34"/>
  <c r="FF43" i="34"/>
  <c r="FE43" i="34"/>
  <c r="FD43" i="34"/>
  <c r="FC43" i="34"/>
  <c r="FB43" i="34"/>
  <c r="FA43" i="34"/>
  <c r="EZ43" i="34"/>
  <c r="EY43" i="34"/>
  <c r="EX43" i="34"/>
  <c r="EW43" i="34"/>
  <c r="EV43" i="34"/>
  <c r="EU43" i="34"/>
  <c r="ET43" i="34"/>
  <c r="ES43" i="34"/>
  <c r="ER43" i="34"/>
  <c r="EQ43" i="34"/>
  <c r="EP43" i="34"/>
  <c r="EO43" i="34"/>
  <c r="EN43" i="34"/>
  <c r="EM43" i="34"/>
  <c r="EL43" i="34"/>
  <c r="EK43" i="34"/>
  <c r="EJ43" i="34"/>
  <c r="EI43" i="34"/>
  <c r="EH43" i="34"/>
  <c r="EG43" i="34"/>
  <c r="EF43" i="34"/>
  <c r="EE43" i="34"/>
  <c r="ED43" i="34"/>
  <c r="EC43" i="34"/>
  <c r="EB43" i="34"/>
  <c r="EA43" i="34"/>
  <c r="DZ43" i="34"/>
  <c r="DY43" i="34"/>
  <c r="DX43" i="34"/>
  <c r="DW43" i="34"/>
  <c r="DV43" i="34"/>
  <c r="DU43" i="34"/>
  <c r="DT43" i="34"/>
  <c r="DS43" i="34"/>
  <c r="DR43" i="34"/>
  <c r="DQ43" i="34"/>
  <c r="DP43" i="34"/>
  <c r="DO43" i="34"/>
  <c r="DN43" i="34"/>
  <c r="DM43" i="34"/>
  <c r="DL43" i="34"/>
  <c r="DK43" i="34"/>
  <c r="DJ43" i="34"/>
  <c r="DI43" i="34"/>
  <c r="DH43" i="34"/>
  <c r="DG43" i="34"/>
  <c r="DF43" i="34"/>
  <c r="DE43" i="34"/>
  <c r="DD43" i="34"/>
  <c r="DC43" i="34"/>
  <c r="DB43" i="34"/>
  <c r="DA43" i="34"/>
  <c r="CZ43" i="34"/>
  <c r="CY43" i="34"/>
  <c r="CX43" i="34"/>
  <c r="CW43" i="34"/>
  <c r="CV43" i="34"/>
  <c r="CU43" i="34"/>
  <c r="CT43" i="34"/>
  <c r="CS43" i="34"/>
  <c r="CR43" i="34"/>
  <c r="CQ43" i="34"/>
  <c r="CP43" i="34"/>
  <c r="CK43" i="34"/>
  <c r="CJ43" i="34"/>
  <c r="CI43" i="34"/>
  <c r="CH43" i="34"/>
  <c r="CG43" i="34"/>
  <c r="CF43" i="34"/>
  <c r="CE43" i="34"/>
  <c r="CD43" i="34"/>
  <c r="CC43" i="34"/>
  <c r="CB43" i="34"/>
  <c r="CA43" i="34"/>
  <c r="BZ43" i="34"/>
  <c r="BY43" i="34"/>
  <c r="BX43" i="34"/>
  <c r="BW43" i="34"/>
  <c r="BV43" i="34"/>
  <c r="BU43" i="34"/>
  <c r="BT43" i="34"/>
  <c r="BS43" i="34"/>
  <c r="BR43" i="34"/>
  <c r="BQ43" i="34"/>
  <c r="BP43" i="34"/>
  <c r="BO43" i="34"/>
  <c r="BN43" i="34"/>
  <c r="BM43" i="34"/>
  <c r="BL43" i="34"/>
  <c r="BK43" i="34"/>
  <c r="BJ43" i="34"/>
  <c r="BI43" i="34"/>
  <c r="BH43" i="34"/>
  <c r="BG43" i="34"/>
  <c r="BF43" i="34"/>
  <c r="BE43" i="34"/>
  <c r="BD43" i="34"/>
  <c r="BC43" i="34"/>
  <c r="BB43" i="34"/>
  <c r="BA43" i="34"/>
  <c r="AZ43" i="34"/>
  <c r="AY43" i="34"/>
  <c r="AX43" i="34"/>
  <c r="AW43" i="34"/>
  <c r="AV43"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P43" i="34"/>
  <c r="O43" i="34"/>
  <c r="N43" i="34"/>
  <c r="FN42" i="34"/>
  <c r="FM42" i="34"/>
  <c r="FL42" i="34"/>
  <c r="FK42" i="34"/>
  <c r="FJ42" i="34"/>
  <c r="FI42" i="34"/>
  <c r="FH42" i="34"/>
  <c r="FG42" i="34"/>
  <c r="FF42" i="34"/>
  <c r="FE42" i="34"/>
  <c r="FD42" i="34"/>
  <c r="FC42" i="34"/>
  <c r="FB42" i="34"/>
  <c r="FA42" i="34"/>
  <c r="EZ42" i="34"/>
  <c r="EY42" i="34"/>
  <c r="EX42" i="34"/>
  <c r="EW42" i="34"/>
  <c r="EV42" i="34"/>
  <c r="EU42" i="34"/>
  <c r="ET42" i="34"/>
  <c r="ES42" i="34"/>
  <c r="ER42" i="34"/>
  <c r="EQ42" i="34"/>
  <c r="EP42" i="34"/>
  <c r="EO42" i="34"/>
  <c r="EN42" i="34"/>
  <c r="EM42" i="34"/>
  <c r="EL42" i="34"/>
  <c r="EK42" i="34"/>
  <c r="EJ42" i="34"/>
  <c r="EI42" i="34"/>
  <c r="EH42" i="34"/>
  <c r="EG42" i="34"/>
  <c r="EF42" i="34"/>
  <c r="EE42" i="34"/>
  <c r="ED42" i="34"/>
  <c r="EC42" i="34"/>
  <c r="EB42" i="34"/>
  <c r="EA42" i="34"/>
  <c r="DZ42" i="34"/>
  <c r="DY42" i="34"/>
  <c r="DX42" i="34"/>
  <c r="DW42" i="34"/>
  <c r="DV42" i="34"/>
  <c r="DU42" i="34"/>
  <c r="DT42" i="34"/>
  <c r="DS42" i="34"/>
  <c r="DR42" i="34"/>
  <c r="DQ42" i="34"/>
  <c r="DP42" i="34"/>
  <c r="DO42" i="34"/>
  <c r="DN42" i="34"/>
  <c r="DM42" i="34"/>
  <c r="DL42" i="34"/>
  <c r="DK42" i="34"/>
  <c r="DJ42" i="34"/>
  <c r="DI42" i="34"/>
  <c r="DH42" i="34"/>
  <c r="DG42" i="34"/>
  <c r="DF42" i="34"/>
  <c r="DE42" i="34"/>
  <c r="DD42" i="34"/>
  <c r="DC42" i="34"/>
  <c r="DB42" i="34"/>
  <c r="DA42" i="34"/>
  <c r="CZ42" i="34"/>
  <c r="CY42" i="34"/>
  <c r="CX42" i="34"/>
  <c r="CW42" i="34"/>
  <c r="CV42" i="34"/>
  <c r="CU42" i="34"/>
  <c r="CT42" i="34"/>
  <c r="CS42" i="34"/>
  <c r="CR42" i="34"/>
  <c r="CQ42" i="34"/>
  <c r="CP42" i="34"/>
  <c r="CK42" i="34"/>
  <c r="CJ42" i="34"/>
  <c r="CI42" i="34"/>
  <c r="CH42" i="34"/>
  <c r="CG42" i="34"/>
  <c r="CF42" i="34"/>
  <c r="CE42" i="34"/>
  <c r="CD42" i="34"/>
  <c r="CC42" i="34"/>
  <c r="CB42" i="34"/>
  <c r="CA42" i="34"/>
  <c r="BZ42" i="34"/>
  <c r="BY42" i="34"/>
  <c r="BX42" i="34"/>
  <c r="BW42" i="34"/>
  <c r="BV42" i="34"/>
  <c r="BU42" i="34"/>
  <c r="BT42" i="34"/>
  <c r="BS42" i="34"/>
  <c r="BR42" i="34"/>
  <c r="BQ42" i="34"/>
  <c r="BP42" i="34"/>
  <c r="BO42" i="34"/>
  <c r="BN42" i="34"/>
  <c r="BM42" i="34"/>
  <c r="BL42" i="34"/>
  <c r="BK42" i="34"/>
  <c r="BJ42" i="34"/>
  <c r="BI42" i="34"/>
  <c r="BH42" i="34"/>
  <c r="BG42" i="34"/>
  <c r="BF42" i="34"/>
  <c r="BE42" i="34"/>
  <c r="BD42" i="34"/>
  <c r="BC42" i="34"/>
  <c r="BB42" i="34"/>
  <c r="BA42" i="34"/>
  <c r="AZ42" i="34"/>
  <c r="AY42" i="34"/>
  <c r="AX42"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R42" i="34"/>
  <c r="Q42" i="34"/>
  <c r="P42" i="34"/>
  <c r="O42" i="34"/>
  <c r="N42" i="34"/>
  <c r="FN41" i="34"/>
  <c r="FM41" i="34"/>
  <c r="FL41" i="34"/>
  <c r="FK41" i="34"/>
  <c r="FJ41" i="34"/>
  <c r="FI41" i="34"/>
  <c r="FH41" i="34"/>
  <c r="FG41" i="34"/>
  <c r="FF41" i="34"/>
  <c r="FE41" i="34"/>
  <c r="FD41" i="34"/>
  <c r="FC41" i="34"/>
  <c r="FB41" i="34"/>
  <c r="FA41" i="34"/>
  <c r="EZ41" i="34"/>
  <c r="EY41" i="34"/>
  <c r="EX41" i="34"/>
  <c r="EW41" i="34"/>
  <c r="EV41" i="34"/>
  <c r="EU41" i="34"/>
  <c r="ET41" i="34"/>
  <c r="ES41" i="34"/>
  <c r="ER41" i="34"/>
  <c r="EQ41" i="34"/>
  <c r="EP41" i="34"/>
  <c r="EO41" i="34"/>
  <c r="EN41" i="34"/>
  <c r="EM41" i="34"/>
  <c r="EL41" i="34"/>
  <c r="EK41" i="34"/>
  <c r="EJ41" i="34"/>
  <c r="EI41" i="34"/>
  <c r="EH41" i="34"/>
  <c r="EG41" i="34"/>
  <c r="EF41" i="34"/>
  <c r="EE41" i="34"/>
  <c r="ED41" i="34"/>
  <c r="EC41" i="34"/>
  <c r="EB41" i="34"/>
  <c r="EA41" i="34"/>
  <c r="DZ41" i="34"/>
  <c r="DY41" i="34"/>
  <c r="DX41" i="34"/>
  <c r="DW41" i="34"/>
  <c r="DV41" i="34"/>
  <c r="DU41" i="34"/>
  <c r="DT41" i="34"/>
  <c r="DS41" i="34"/>
  <c r="DR41" i="34"/>
  <c r="DQ41" i="34"/>
  <c r="DP41" i="34"/>
  <c r="DO41" i="34"/>
  <c r="DN41" i="34"/>
  <c r="DM41" i="34"/>
  <c r="DL41" i="34"/>
  <c r="DK41" i="34"/>
  <c r="DJ41" i="34"/>
  <c r="DI41" i="34"/>
  <c r="DH41" i="34"/>
  <c r="DG41" i="34"/>
  <c r="DF41" i="34"/>
  <c r="DE41" i="34"/>
  <c r="DD41" i="34"/>
  <c r="DC41" i="34"/>
  <c r="DB41" i="34"/>
  <c r="DA41" i="34"/>
  <c r="CZ41" i="34"/>
  <c r="CY41" i="34"/>
  <c r="CX41" i="34"/>
  <c r="CW41" i="34"/>
  <c r="CV41" i="34"/>
  <c r="CU41" i="34"/>
  <c r="CT41" i="34"/>
  <c r="CS41" i="34"/>
  <c r="CR41" i="34"/>
  <c r="CQ41" i="34"/>
  <c r="CP41" i="34"/>
  <c r="CK41" i="34"/>
  <c r="CJ41" i="34"/>
  <c r="CI41" i="34"/>
  <c r="CH41" i="34"/>
  <c r="CG41" i="34"/>
  <c r="CF41" i="34"/>
  <c r="CE41" i="34"/>
  <c r="CD41" i="34"/>
  <c r="CC41" i="34"/>
  <c r="CB41" i="34"/>
  <c r="CA41" i="34"/>
  <c r="BZ41" i="34"/>
  <c r="BY41" i="34"/>
  <c r="BX41" i="34"/>
  <c r="BW41" i="34"/>
  <c r="BV41" i="34"/>
  <c r="BU41" i="34"/>
  <c r="BT41" i="34"/>
  <c r="BS41" i="34"/>
  <c r="BR41" i="34"/>
  <c r="BQ41" i="34"/>
  <c r="BP41" i="34"/>
  <c r="BO41" i="34"/>
  <c r="BN41" i="34"/>
  <c r="BM41" i="34"/>
  <c r="BL41" i="34"/>
  <c r="BK41" i="34"/>
  <c r="BJ41" i="34"/>
  <c r="BI41" i="34"/>
  <c r="BH41" i="34"/>
  <c r="BG41" i="34"/>
  <c r="BF41" i="34"/>
  <c r="BE41" i="34"/>
  <c r="BD41" i="34"/>
  <c r="BC41" i="34"/>
  <c r="BB41" i="34"/>
  <c r="BA41" i="34"/>
  <c r="AZ41" i="34"/>
  <c r="AY41" i="34"/>
  <c r="AX41"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P41" i="34"/>
  <c r="O41" i="34"/>
  <c r="N41" i="34"/>
  <c r="FN40" i="34"/>
  <c r="FM40" i="34"/>
  <c r="FL40" i="34"/>
  <c r="FK40" i="34"/>
  <c r="FJ40" i="34"/>
  <c r="FI40" i="34"/>
  <c r="FH40" i="34"/>
  <c r="FG40" i="34"/>
  <c r="FF40" i="34"/>
  <c r="FE40" i="34"/>
  <c r="FD40" i="34"/>
  <c r="FC40" i="34"/>
  <c r="FB40" i="34"/>
  <c r="FA40" i="34"/>
  <c r="EZ40" i="34"/>
  <c r="EY40" i="34"/>
  <c r="EX40" i="34"/>
  <c r="EW40" i="34"/>
  <c r="EV40" i="34"/>
  <c r="EU40" i="34"/>
  <c r="ET40" i="34"/>
  <c r="ES40" i="34"/>
  <c r="ER40" i="34"/>
  <c r="EQ40" i="34"/>
  <c r="EP40" i="34"/>
  <c r="EO40" i="34"/>
  <c r="EN40" i="34"/>
  <c r="EM40" i="34"/>
  <c r="EL40" i="34"/>
  <c r="EK40" i="34"/>
  <c r="EJ40" i="34"/>
  <c r="EI40" i="34"/>
  <c r="EH40" i="34"/>
  <c r="EG40" i="34"/>
  <c r="EF40" i="34"/>
  <c r="EE40" i="34"/>
  <c r="ED40" i="34"/>
  <c r="EC40" i="34"/>
  <c r="EB40" i="34"/>
  <c r="EA40" i="34"/>
  <c r="DZ40" i="34"/>
  <c r="DY40" i="34"/>
  <c r="DX40" i="34"/>
  <c r="DW40" i="34"/>
  <c r="DV40" i="34"/>
  <c r="DU40" i="34"/>
  <c r="DT40" i="34"/>
  <c r="DS40" i="34"/>
  <c r="DR40" i="34"/>
  <c r="DQ40" i="34"/>
  <c r="DP40" i="34"/>
  <c r="DO40" i="34"/>
  <c r="DN40" i="34"/>
  <c r="DM40" i="34"/>
  <c r="DL40" i="34"/>
  <c r="DK40" i="34"/>
  <c r="DJ40" i="34"/>
  <c r="DI40" i="34"/>
  <c r="DH40" i="34"/>
  <c r="DG40" i="34"/>
  <c r="DF40" i="34"/>
  <c r="DE40" i="34"/>
  <c r="DD40" i="34"/>
  <c r="DC40" i="34"/>
  <c r="DB40" i="34"/>
  <c r="DA40" i="34"/>
  <c r="CZ40" i="34"/>
  <c r="CY40" i="34"/>
  <c r="CX40" i="34"/>
  <c r="CW40" i="34"/>
  <c r="CV40" i="34"/>
  <c r="CU40" i="34"/>
  <c r="CT40" i="34"/>
  <c r="CS40" i="34"/>
  <c r="CR40" i="34"/>
  <c r="CQ40" i="34"/>
  <c r="CP40" i="34"/>
  <c r="CK40" i="34"/>
  <c r="CJ40" i="34"/>
  <c r="CI40" i="34"/>
  <c r="CH40"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FN39" i="34"/>
  <c r="FM39" i="34"/>
  <c r="FL39" i="34"/>
  <c r="FK39" i="34"/>
  <c r="FJ39" i="34"/>
  <c r="FI39" i="34"/>
  <c r="FH39" i="34"/>
  <c r="FG39" i="34"/>
  <c r="FF39" i="34"/>
  <c r="FE39" i="34"/>
  <c r="FD39" i="34"/>
  <c r="FC39" i="34"/>
  <c r="FB39" i="34"/>
  <c r="FA39" i="34"/>
  <c r="EZ39" i="34"/>
  <c r="EY39" i="34"/>
  <c r="EX39" i="34"/>
  <c r="EW39" i="34"/>
  <c r="EV39" i="34"/>
  <c r="EU39" i="34"/>
  <c r="ET39" i="34"/>
  <c r="ES39" i="34"/>
  <c r="ER39" i="34"/>
  <c r="EQ39" i="34"/>
  <c r="EP39" i="34"/>
  <c r="EO39" i="34"/>
  <c r="EN39" i="34"/>
  <c r="EM39" i="34"/>
  <c r="EL39" i="34"/>
  <c r="EK39" i="34"/>
  <c r="EJ39" i="34"/>
  <c r="EI39" i="34"/>
  <c r="EH39" i="34"/>
  <c r="EG39" i="34"/>
  <c r="EF39" i="34"/>
  <c r="EE39" i="34"/>
  <c r="ED39" i="34"/>
  <c r="EC39" i="34"/>
  <c r="EB39" i="34"/>
  <c r="EA39" i="34"/>
  <c r="DZ39" i="34"/>
  <c r="DY39" i="34"/>
  <c r="DX39" i="34"/>
  <c r="DW39" i="34"/>
  <c r="DV39" i="34"/>
  <c r="DU39" i="34"/>
  <c r="DT39" i="34"/>
  <c r="DS39" i="34"/>
  <c r="DR39" i="34"/>
  <c r="DQ39" i="34"/>
  <c r="DP39" i="34"/>
  <c r="DO39" i="34"/>
  <c r="DN39" i="34"/>
  <c r="DM39" i="34"/>
  <c r="DL39" i="34"/>
  <c r="DK39" i="34"/>
  <c r="DJ39" i="34"/>
  <c r="DI39" i="34"/>
  <c r="DH39" i="34"/>
  <c r="DG39" i="34"/>
  <c r="DF39" i="34"/>
  <c r="DE39" i="34"/>
  <c r="DD39" i="34"/>
  <c r="DC39" i="34"/>
  <c r="DB39" i="34"/>
  <c r="DA39" i="34"/>
  <c r="CZ39" i="34"/>
  <c r="CY39" i="34"/>
  <c r="CX39" i="34"/>
  <c r="CW39" i="34"/>
  <c r="CV39" i="34"/>
  <c r="CU39" i="34"/>
  <c r="CT39" i="34"/>
  <c r="CS39" i="34"/>
  <c r="CR39" i="34"/>
  <c r="CQ39" i="34"/>
  <c r="CP39" i="34"/>
  <c r="CK39" i="34"/>
  <c r="CJ39" i="34"/>
  <c r="CI39" i="34"/>
  <c r="CH39" i="34"/>
  <c r="CG39" i="34"/>
  <c r="CF39" i="34"/>
  <c r="CE39" i="34"/>
  <c r="CD39" i="34"/>
  <c r="CC39" i="34"/>
  <c r="CB39" i="34"/>
  <c r="CA39" i="34"/>
  <c r="BZ39" i="34"/>
  <c r="BY39" i="34"/>
  <c r="BX39" i="34"/>
  <c r="BW39" i="34"/>
  <c r="BV39" i="34"/>
  <c r="BU39" i="34"/>
  <c r="BT39" i="34"/>
  <c r="BS39" i="34"/>
  <c r="BR39" i="34"/>
  <c r="BQ39" i="34"/>
  <c r="BP39" i="34"/>
  <c r="BO39" i="34"/>
  <c r="BN39" i="34"/>
  <c r="BM39" i="34"/>
  <c r="BL39" i="34"/>
  <c r="BK39" i="34"/>
  <c r="BJ39" i="34"/>
  <c r="BI39" i="34"/>
  <c r="BH39" i="34"/>
  <c r="BG39" i="34"/>
  <c r="BF39" i="34"/>
  <c r="BE39" i="34"/>
  <c r="BD39" i="34"/>
  <c r="BC39" i="34"/>
  <c r="BB39" i="34"/>
  <c r="BA39" i="34"/>
  <c r="AZ39" i="34"/>
  <c r="AY39" i="34"/>
  <c r="AX39"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P39" i="34"/>
  <c r="O39" i="34"/>
  <c r="N39" i="34"/>
  <c r="FN38" i="34"/>
  <c r="FM38" i="34"/>
  <c r="FL38" i="34"/>
  <c r="FK38" i="34"/>
  <c r="FJ38" i="34"/>
  <c r="FI38" i="34"/>
  <c r="FH38" i="34"/>
  <c r="FG38" i="34"/>
  <c r="FF38" i="34"/>
  <c r="FE38" i="34"/>
  <c r="FD38" i="34"/>
  <c r="FC38" i="34"/>
  <c r="FB38" i="34"/>
  <c r="FA38" i="34"/>
  <c r="EZ38" i="34"/>
  <c r="EY38" i="34"/>
  <c r="EX38" i="34"/>
  <c r="EW38" i="34"/>
  <c r="EV38" i="34"/>
  <c r="EU38" i="34"/>
  <c r="ET38" i="34"/>
  <c r="ES38" i="34"/>
  <c r="ER38" i="34"/>
  <c r="EQ38" i="34"/>
  <c r="EP38" i="34"/>
  <c r="EO38" i="34"/>
  <c r="EN38" i="34"/>
  <c r="EM38" i="34"/>
  <c r="EL38" i="34"/>
  <c r="EK38" i="34"/>
  <c r="EJ38" i="34"/>
  <c r="EI38" i="34"/>
  <c r="EH38" i="34"/>
  <c r="EG38" i="34"/>
  <c r="EF38" i="34"/>
  <c r="EE38" i="34"/>
  <c r="ED38" i="34"/>
  <c r="EC38" i="34"/>
  <c r="EB38" i="34"/>
  <c r="EA38" i="34"/>
  <c r="DZ38" i="34"/>
  <c r="DY38" i="34"/>
  <c r="DX38" i="34"/>
  <c r="DW38" i="34"/>
  <c r="DV38" i="34"/>
  <c r="DU38" i="34"/>
  <c r="DT38" i="34"/>
  <c r="DS38" i="34"/>
  <c r="DR38" i="34"/>
  <c r="DQ38" i="34"/>
  <c r="DP38" i="34"/>
  <c r="DO38" i="34"/>
  <c r="DN38" i="34"/>
  <c r="DM38" i="34"/>
  <c r="DL38" i="34"/>
  <c r="DK38" i="34"/>
  <c r="DJ38" i="34"/>
  <c r="DI38" i="34"/>
  <c r="DH38" i="34"/>
  <c r="DG38" i="34"/>
  <c r="DF38" i="34"/>
  <c r="DE38" i="34"/>
  <c r="DD38" i="34"/>
  <c r="DC38" i="34"/>
  <c r="DB38" i="34"/>
  <c r="DA38" i="34"/>
  <c r="CZ38" i="34"/>
  <c r="CY38" i="34"/>
  <c r="CX38" i="34"/>
  <c r="CW38" i="34"/>
  <c r="CV38" i="34"/>
  <c r="CU38" i="34"/>
  <c r="CT38" i="34"/>
  <c r="CS38" i="34"/>
  <c r="CR38" i="34"/>
  <c r="CQ38" i="34"/>
  <c r="CP38" i="34"/>
  <c r="CK38" i="34"/>
  <c r="CJ38" i="34"/>
  <c r="CI38" i="34"/>
  <c r="CH38" i="34"/>
  <c r="CG38" i="34"/>
  <c r="CF38" i="34"/>
  <c r="CE38" i="34"/>
  <c r="CD38" i="34"/>
  <c r="CC38" i="34"/>
  <c r="CB38" i="34"/>
  <c r="CA38" i="34"/>
  <c r="BZ38" i="34"/>
  <c r="BY38" i="34"/>
  <c r="BX38" i="34"/>
  <c r="BW38" i="34"/>
  <c r="BV38" i="34"/>
  <c r="BU38" i="34"/>
  <c r="BT38" i="34"/>
  <c r="BS38" i="34"/>
  <c r="BR38" i="34"/>
  <c r="BQ38" i="34"/>
  <c r="BP38" i="34"/>
  <c r="BO38" i="34"/>
  <c r="BN38" i="34"/>
  <c r="BM38" i="34"/>
  <c r="BL38" i="34"/>
  <c r="BK38" i="34"/>
  <c r="BJ38" i="34"/>
  <c r="BI38" i="34"/>
  <c r="BH38" i="34"/>
  <c r="BG38" i="34"/>
  <c r="BF38" i="34"/>
  <c r="BE38" i="34"/>
  <c r="BD38" i="34"/>
  <c r="BC38" i="34"/>
  <c r="BB38" i="34"/>
  <c r="BA38" i="34"/>
  <c r="AZ38" i="34"/>
  <c r="AY38" i="34"/>
  <c r="AX38"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S38" i="34"/>
  <c r="R38" i="34"/>
  <c r="Q38" i="34"/>
  <c r="P38" i="34"/>
  <c r="O38" i="34"/>
  <c r="N38" i="34"/>
  <c r="FN37" i="34"/>
  <c r="FM37" i="34"/>
  <c r="FL37" i="34"/>
  <c r="FK37" i="34"/>
  <c r="FJ37" i="34"/>
  <c r="FI37" i="34"/>
  <c r="FH37" i="34"/>
  <c r="FG37" i="34"/>
  <c r="FF37" i="34"/>
  <c r="FE37" i="34"/>
  <c r="FD37" i="34"/>
  <c r="FC37" i="34"/>
  <c r="FB37" i="34"/>
  <c r="FA37" i="34"/>
  <c r="EZ37" i="34"/>
  <c r="EY37" i="34"/>
  <c r="EX37" i="34"/>
  <c r="EW37" i="34"/>
  <c r="EV37" i="34"/>
  <c r="EU37" i="34"/>
  <c r="ET37" i="34"/>
  <c r="ES37" i="34"/>
  <c r="ER37" i="34"/>
  <c r="EQ37" i="34"/>
  <c r="EP37" i="34"/>
  <c r="EO37" i="34"/>
  <c r="EN37" i="34"/>
  <c r="EM37" i="34"/>
  <c r="EL37" i="34"/>
  <c r="EK37" i="34"/>
  <c r="EJ37" i="34"/>
  <c r="EI37" i="34"/>
  <c r="EH37" i="34"/>
  <c r="EG37" i="34"/>
  <c r="EF37" i="34"/>
  <c r="EE37" i="34"/>
  <c r="ED37" i="34"/>
  <c r="EC37" i="34"/>
  <c r="EB37" i="34"/>
  <c r="EA37" i="34"/>
  <c r="DZ37" i="34"/>
  <c r="DY37" i="34"/>
  <c r="DX37" i="34"/>
  <c r="DW37" i="34"/>
  <c r="DV37" i="34"/>
  <c r="DU37" i="34"/>
  <c r="DT37" i="34"/>
  <c r="DS37" i="34"/>
  <c r="DR37" i="34"/>
  <c r="DQ37" i="34"/>
  <c r="DP37" i="34"/>
  <c r="DO37" i="34"/>
  <c r="DN37" i="34"/>
  <c r="DM37" i="34"/>
  <c r="DL37" i="34"/>
  <c r="DK37" i="34"/>
  <c r="DJ37" i="34"/>
  <c r="DI37" i="34"/>
  <c r="DH37" i="34"/>
  <c r="DG37" i="34"/>
  <c r="DF37" i="34"/>
  <c r="DE37" i="34"/>
  <c r="DD37" i="34"/>
  <c r="DC37" i="34"/>
  <c r="DB37" i="34"/>
  <c r="DA37" i="34"/>
  <c r="CZ37" i="34"/>
  <c r="CY37" i="34"/>
  <c r="CX37" i="34"/>
  <c r="CW37" i="34"/>
  <c r="CV37" i="34"/>
  <c r="CU37" i="34"/>
  <c r="CT37" i="34"/>
  <c r="CS37" i="34"/>
  <c r="CR37" i="34"/>
  <c r="CQ37" i="34"/>
  <c r="CP37" i="34"/>
  <c r="CK37" i="34"/>
  <c r="CJ37" i="34"/>
  <c r="CI37" i="34"/>
  <c r="CH37" i="34"/>
  <c r="CG37" i="34"/>
  <c r="CF37" i="34"/>
  <c r="CE37" i="34"/>
  <c r="CD37" i="34"/>
  <c r="CC37" i="34"/>
  <c r="CB37" i="34"/>
  <c r="CA37" i="34"/>
  <c r="BZ37" i="34"/>
  <c r="BY37" i="34"/>
  <c r="BX37" i="34"/>
  <c r="BW37" i="34"/>
  <c r="BV37" i="34"/>
  <c r="BU37" i="34"/>
  <c r="BT37" i="34"/>
  <c r="BS37" i="34"/>
  <c r="BR37" i="34"/>
  <c r="BQ37" i="34"/>
  <c r="BP37" i="34"/>
  <c r="BO37" i="34"/>
  <c r="BN37" i="34"/>
  <c r="BM37" i="34"/>
  <c r="BL37" i="34"/>
  <c r="BK37" i="34"/>
  <c r="BJ37" i="34"/>
  <c r="BI37" i="34"/>
  <c r="BH37" i="34"/>
  <c r="BG37" i="34"/>
  <c r="BF37" i="34"/>
  <c r="BE37" i="34"/>
  <c r="BD37" i="34"/>
  <c r="BC37" i="34"/>
  <c r="BB37" i="34"/>
  <c r="BA37" i="34"/>
  <c r="AZ37" i="34"/>
  <c r="AY37" i="34"/>
  <c r="AX37" i="34"/>
  <c r="AW37" i="34"/>
  <c r="AV37"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P37" i="34"/>
  <c r="O37" i="34"/>
  <c r="N37" i="34"/>
  <c r="FN36" i="34"/>
  <c r="FM36" i="34"/>
  <c r="FL36" i="34"/>
  <c r="FK36" i="34"/>
  <c r="FJ36" i="34"/>
  <c r="FI36" i="34"/>
  <c r="FH36" i="34"/>
  <c r="FG36" i="34"/>
  <c r="FF36" i="34"/>
  <c r="FE36" i="34"/>
  <c r="FD36" i="34"/>
  <c r="FC36" i="34"/>
  <c r="FB36" i="34"/>
  <c r="FA36" i="34"/>
  <c r="EZ36" i="34"/>
  <c r="EY36" i="34"/>
  <c r="EX36" i="34"/>
  <c r="EW36" i="34"/>
  <c r="EV36" i="34"/>
  <c r="EU36" i="34"/>
  <c r="ET36" i="34"/>
  <c r="ES36" i="34"/>
  <c r="ER36" i="34"/>
  <c r="EQ36" i="34"/>
  <c r="EP36" i="34"/>
  <c r="EO36" i="34"/>
  <c r="EN36" i="34"/>
  <c r="EM36" i="34"/>
  <c r="EL36" i="34"/>
  <c r="EK36" i="34"/>
  <c r="EJ36" i="34"/>
  <c r="EI36" i="34"/>
  <c r="EH36" i="34"/>
  <c r="EG36" i="34"/>
  <c r="EF36" i="34"/>
  <c r="EE36" i="34"/>
  <c r="ED36" i="34"/>
  <c r="EC36" i="34"/>
  <c r="EB36" i="34"/>
  <c r="EA36" i="34"/>
  <c r="DZ36" i="34"/>
  <c r="DY36" i="34"/>
  <c r="DX36" i="34"/>
  <c r="DW36" i="34"/>
  <c r="DV36" i="34"/>
  <c r="DU36" i="34"/>
  <c r="DT36" i="34"/>
  <c r="DS36" i="34"/>
  <c r="DR36" i="34"/>
  <c r="DQ36" i="34"/>
  <c r="DP36" i="34"/>
  <c r="DO36" i="34"/>
  <c r="DN36" i="34"/>
  <c r="DM36" i="34"/>
  <c r="DL36" i="34"/>
  <c r="DK36" i="34"/>
  <c r="DJ36" i="34"/>
  <c r="DI36" i="34"/>
  <c r="DH36" i="34"/>
  <c r="DG36" i="34"/>
  <c r="DF36" i="34"/>
  <c r="DE36" i="34"/>
  <c r="DD36" i="34"/>
  <c r="DC36" i="34"/>
  <c r="DB36" i="34"/>
  <c r="DA36" i="34"/>
  <c r="CZ36" i="34"/>
  <c r="CY36" i="34"/>
  <c r="CX36" i="34"/>
  <c r="CW36" i="34"/>
  <c r="CV36" i="34"/>
  <c r="CU36" i="34"/>
  <c r="CT36" i="34"/>
  <c r="CS36" i="34"/>
  <c r="CR36" i="34"/>
  <c r="CQ36" i="34"/>
  <c r="CP36" i="34"/>
  <c r="CK36" i="34"/>
  <c r="CJ36" i="34"/>
  <c r="CI36" i="34"/>
  <c r="CH36" i="34"/>
  <c r="CG36" i="34"/>
  <c r="CF36" i="34"/>
  <c r="CE36" i="34"/>
  <c r="CD36" i="34"/>
  <c r="CC36" i="34"/>
  <c r="CB36" i="34"/>
  <c r="CA36" i="34"/>
  <c r="BZ36" i="34"/>
  <c r="BY36" i="34"/>
  <c r="BX36" i="34"/>
  <c r="BW36" i="34"/>
  <c r="BV36" i="34"/>
  <c r="BU36" i="34"/>
  <c r="BT36" i="34"/>
  <c r="BS36" i="34"/>
  <c r="BR36" i="34"/>
  <c r="BQ36" i="34"/>
  <c r="BP36" i="34"/>
  <c r="BO36" i="34"/>
  <c r="BN36" i="34"/>
  <c r="BM36" i="34"/>
  <c r="BL36" i="34"/>
  <c r="BK36" i="34"/>
  <c r="BJ36" i="34"/>
  <c r="BI36" i="34"/>
  <c r="BG36" i="34"/>
  <c r="BE36" i="34"/>
  <c r="BC36" i="34"/>
  <c r="BA36" i="34"/>
  <c r="AY36" i="34"/>
  <c r="AW36" i="34"/>
  <c r="AU36" i="34"/>
  <c r="AS36" i="34"/>
  <c r="AR36" i="34"/>
  <c r="AQ36" i="34"/>
  <c r="AP36" i="34"/>
  <c r="AO36" i="34"/>
  <c r="AN36" i="34"/>
  <c r="AL36" i="34"/>
  <c r="AJ36" i="34"/>
  <c r="AH36" i="34"/>
  <c r="AG36" i="34"/>
  <c r="AF36" i="34"/>
  <c r="AD36" i="34"/>
  <c r="AB36" i="34"/>
  <c r="Z36" i="34"/>
  <c r="Y36" i="34"/>
  <c r="X36" i="34"/>
  <c r="W36" i="34"/>
  <c r="V36" i="34"/>
  <c r="U36" i="34"/>
  <c r="T36" i="34"/>
  <c r="S36" i="34"/>
  <c r="R36" i="34"/>
  <c r="Q36" i="34"/>
  <c r="P36" i="34"/>
  <c r="O36" i="34"/>
  <c r="N36" i="34"/>
  <c r="FN35" i="34"/>
  <c r="FM35" i="34"/>
  <c r="FL35" i="34"/>
  <c r="FK35" i="34"/>
  <c r="FJ35" i="34"/>
  <c r="FI35" i="34"/>
  <c r="FH35" i="34"/>
  <c r="FG35" i="34"/>
  <c r="FF35" i="34"/>
  <c r="FE35" i="34"/>
  <c r="FD35" i="34"/>
  <c r="FC35" i="34"/>
  <c r="FB35" i="34"/>
  <c r="FA35" i="34"/>
  <c r="EZ35" i="34"/>
  <c r="EY35" i="34"/>
  <c r="EX35" i="34"/>
  <c r="EW35" i="34"/>
  <c r="EV35" i="34"/>
  <c r="EU35" i="34"/>
  <c r="ET35" i="34"/>
  <c r="ES35" i="34"/>
  <c r="ER35" i="34"/>
  <c r="EQ35" i="34"/>
  <c r="EP35" i="34"/>
  <c r="EO35" i="34"/>
  <c r="EN35" i="34"/>
  <c r="EM35" i="34"/>
  <c r="EL35" i="34"/>
  <c r="EK35" i="34"/>
  <c r="EJ35" i="34"/>
  <c r="EI35" i="34"/>
  <c r="EH35" i="34"/>
  <c r="EG35" i="34"/>
  <c r="EF35" i="34"/>
  <c r="EE35" i="34"/>
  <c r="ED35" i="34"/>
  <c r="EC35" i="34"/>
  <c r="EB35" i="34"/>
  <c r="EA35" i="34"/>
  <c r="DZ35" i="34"/>
  <c r="DY35" i="34"/>
  <c r="DX35" i="34"/>
  <c r="DW35" i="34"/>
  <c r="DV35" i="34"/>
  <c r="DU35" i="34"/>
  <c r="DT35" i="34"/>
  <c r="DS35" i="34"/>
  <c r="DR35" i="34"/>
  <c r="DQ35" i="34"/>
  <c r="DP35" i="34"/>
  <c r="DO35" i="34"/>
  <c r="DN35" i="34"/>
  <c r="DM35" i="34"/>
  <c r="DL35" i="34"/>
  <c r="DK35" i="34"/>
  <c r="DJ35" i="34"/>
  <c r="DI35" i="34"/>
  <c r="DH35" i="34"/>
  <c r="DG35" i="34"/>
  <c r="DF35" i="34"/>
  <c r="DE35" i="34"/>
  <c r="DD35" i="34"/>
  <c r="DC35" i="34"/>
  <c r="DB35" i="34"/>
  <c r="DA35" i="34"/>
  <c r="CZ35" i="34"/>
  <c r="CY35" i="34"/>
  <c r="CX35" i="34"/>
  <c r="CW35" i="34"/>
  <c r="CV35" i="34"/>
  <c r="CU35" i="34"/>
  <c r="CT35" i="34"/>
  <c r="CS35" i="34"/>
  <c r="CR35" i="34"/>
  <c r="CQ35" i="34"/>
  <c r="CP35" i="34"/>
  <c r="CK35" i="34"/>
  <c r="CJ35" i="34"/>
  <c r="CI35" i="34"/>
  <c r="CH35" i="34"/>
  <c r="CG35" i="34"/>
  <c r="CF35" i="34"/>
  <c r="CE35" i="34"/>
  <c r="CD35" i="34"/>
  <c r="CC35" i="34"/>
  <c r="CB35" i="34"/>
  <c r="CA35" i="34"/>
  <c r="BZ35" i="34"/>
  <c r="BY35" i="34"/>
  <c r="BX35" i="34"/>
  <c r="BW35" i="34"/>
  <c r="BV35" i="34"/>
  <c r="BU35" i="34"/>
  <c r="BT35" i="34"/>
  <c r="BS35" i="34"/>
  <c r="BR35" i="34"/>
  <c r="BQ35" i="34"/>
  <c r="BP35" i="34"/>
  <c r="BO35" i="34"/>
  <c r="BN35" i="34"/>
  <c r="BM35" i="34"/>
  <c r="BJ35" i="34"/>
  <c r="BI35" i="34"/>
  <c r="BG35" i="34"/>
  <c r="BE35" i="34"/>
  <c r="AR35" i="34"/>
  <c r="AQ35" i="34"/>
  <c r="AP35" i="34"/>
  <c r="AO35" i="34"/>
  <c r="AN35" i="34"/>
  <c r="AL35" i="34"/>
  <c r="AG35" i="34"/>
  <c r="AF35" i="34"/>
  <c r="Z35" i="34"/>
  <c r="Y35" i="34"/>
  <c r="W35" i="34"/>
  <c r="V35" i="34"/>
  <c r="U35" i="34"/>
  <c r="T35" i="34"/>
  <c r="S35" i="34"/>
  <c r="R35" i="34"/>
  <c r="Q35" i="34"/>
  <c r="P35" i="34"/>
  <c r="O35" i="34"/>
  <c r="N35" i="34"/>
  <c r="FN34" i="34"/>
  <c r="FM34" i="34"/>
  <c r="FL34" i="34"/>
  <c r="FK34" i="34"/>
  <c r="FJ34" i="34"/>
  <c r="FI34" i="34"/>
  <c r="FH34" i="34"/>
  <c r="FG34" i="34"/>
  <c r="FF34" i="34"/>
  <c r="FE34" i="34"/>
  <c r="FD34" i="34"/>
  <c r="FC34" i="34"/>
  <c r="FB34" i="34"/>
  <c r="FA34" i="34"/>
  <c r="EZ34" i="34"/>
  <c r="EY34" i="34"/>
  <c r="EX34" i="34"/>
  <c r="EW34" i="34"/>
  <c r="EV34" i="34"/>
  <c r="EU34" i="34"/>
  <c r="ET34" i="34"/>
  <c r="ES34" i="34"/>
  <c r="ER34" i="34"/>
  <c r="EQ34" i="34"/>
  <c r="EP34" i="34"/>
  <c r="EO34" i="34"/>
  <c r="EN34" i="34"/>
  <c r="EM34" i="34"/>
  <c r="EL34" i="34"/>
  <c r="EK34" i="34"/>
  <c r="EJ34" i="34"/>
  <c r="EI34" i="34"/>
  <c r="EH34" i="34"/>
  <c r="EG34" i="34"/>
  <c r="EF34" i="34"/>
  <c r="EE34" i="34"/>
  <c r="ED34" i="34"/>
  <c r="EC34" i="34"/>
  <c r="EB34" i="34"/>
  <c r="EA34" i="34"/>
  <c r="DZ34" i="34"/>
  <c r="DY34" i="34"/>
  <c r="DX34" i="34"/>
  <c r="DW34" i="34"/>
  <c r="DV34" i="34"/>
  <c r="DU34" i="34"/>
  <c r="DT34" i="34"/>
  <c r="DS34" i="34"/>
  <c r="DR34" i="34"/>
  <c r="DQ34" i="34"/>
  <c r="DP34" i="34"/>
  <c r="DO34" i="34"/>
  <c r="DN34" i="34"/>
  <c r="DM34" i="34"/>
  <c r="DL34" i="34"/>
  <c r="DK34" i="34"/>
  <c r="DJ34" i="34"/>
  <c r="DI34" i="34"/>
  <c r="DH34" i="34"/>
  <c r="DG34" i="34"/>
  <c r="DF34" i="34"/>
  <c r="DE34" i="34"/>
  <c r="DD34" i="34"/>
  <c r="DC34" i="34"/>
  <c r="DB34" i="34"/>
  <c r="DA34" i="34"/>
  <c r="CZ34" i="34"/>
  <c r="CY34" i="34"/>
  <c r="CX34" i="34"/>
  <c r="CW34" i="34"/>
  <c r="CV34" i="34"/>
  <c r="CU34" i="34"/>
  <c r="CT34" i="34"/>
  <c r="CS34" i="34"/>
  <c r="CR34" i="34"/>
  <c r="CQ34" i="34"/>
  <c r="CP34" i="34"/>
  <c r="CK34" i="34"/>
  <c r="CJ34" i="34"/>
  <c r="CI34" i="34"/>
  <c r="CH34" i="34"/>
  <c r="CG34" i="34"/>
  <c r="CF34" i="34"/>
  <c r="CE34" i="34"/>
  <c r="CD34" i="34"/>
  <c r="CC34" i="34"/>
  <c r="CB34" i="34"/>
  <c r="CA34" i="34"/>
  <c r="BZ34" i="34"/>
  <c r="BY34" i="34"/>
  <c r="BX34" i="34"/>
  <c r="BW34" i="34"/>
  <c r="BV34" i="34"/>
  <c r="BU34" i="34"/>
  <c r="BT34" i="34"/>
  <c r="BS34" i="34"/>
  <c r="BR34" i="34"/>
  <c r="BQ34" i="34"/>
  <c r="BP34" i="34"/>
  <c r="BO34" i="34"/>
  <c r="BN34" i="34"/>
  <c r="BM34" i="34"/>
  <c r="BL34" i="34"/>
  <c r="BJ34" i="34"/>
  <c r="BI34" i="34"/>
  <c r="BH34" i="34"/>
  <c r="BG34" i="34"/>
  <c r="BE34" i="34"/>
  <c r="BD34" i="34"/>
  <c r="BC34" i="34"/>
  <c r="BB34" i="34"/>
  <c r="BA34" i="34"/>
  <c r="AZ34" i="34"/>
  <c r="AY34" i="34"/>
  <c r="AX34" i="34"/>
  <c r="AW34" i="34"/>
  <c r="AV34" i="34"/>
  <c r="AU34" i="34"/>
  <c r="AT34" i="34"/>
  <c r="AS34" i="34"/>
  <c r="AR34" i="34"/>
  <c r="AQ34" i="34"/>
  <c r="AP34" i="34"/>
  <c r="AO34" i="34"/>
  <c r="AN34" i="34"/>
  <c r="AL34" i="34"/>
  <c r="AK34" i="34"/>
  <c r="AJ34" i="34"/>
  <c r="AI34" i="34"/>
  <c r="AH34" i="34"/>
  <c r="AG34" i="34"/>
  <c r="AF34" i="34"/>
  <c r="AE34" i="34"/>
  <c r="AD34" i="34"/>
  <c r="AC34" i="34"/>
  <c r="AB34" i="34"/>
  <c r="AA34" i="34"/>
  <c r="Z34" i="34"/>
  <c r="Y34" i="34"/>
  <c r="X34" i="34"/>
  <c r="W34" i="34"/>
  <c r="V34" i="34"/>
  <c r="U34" i="34"/>
  <c r="T34" i="34"/>
  <c r="S34" i="34"/>
  <c r="R34" i="34"/>
  <c r="Q34" i="34"/>
  <c r="P34" i="34"/>
  <c r="O34" i="34"/>
  <c r="N34" i="34"/>
  <c r="FN33" i="34"/>
  <c r="FM33" i="34"/>
  <c r="FL33" i="34"/>
  <c r="FK33" i="34"/>
  <c r="FJ33" i="34"/>
  <c r="FI33" i="34"/>
  <c r="FH33" i="34"/>
  <c r="FG33" i="34"/>
  <c r="FF33" i="34"/>
  <c r="FE33" i="34"/>
  <c r="FD33" i="34"/>
  <c r="FC33" i="34"/>
  <c r="FB33" i="34"/>
  <c r="FA33" i="34"/>
  <c r="EZ33" i="34"/>
  <c r="EY33" i="34"/>
  <c r="EX33" i="34"/>
  <c r="EW33" i="34"/>
  <c r="EV33" i="34"/>
  <c r="EU33" i="34"/>
  <c r="ET33" i="34"/>
  <c r="ES33" i="34"/>
  <c r="ER33" i="34"/>
  <c r="EQ33" i="34"/>
  <c r="EP33" i="34"/>
  <c r="EO33" i="34"/>
  <c r="EN33" i="34"/>
  <c r="EM33" i="34"/>
  <c r="EL33" i="34"/>
  <c r="EK33" i="34"/>
  <c r="EJ33" i="34"/>
  <c r="EI33" i="34"/>
  <c r="EH33" i="34"/>
  <c r="EG33" i="34"/>
  <c r="EF33" i="34"/>
  <c r="EE33" i="34"/>
  <c r="ED33" i="34"/>
  <c r="EC33" i="34"/>
  <c r="EB33" i="34"/>
  <c r="EA33" i="34"/>
  <c r="DZ33" i="34"/>
  <c r="DY33" i="34"/>
  <c r="DX33" i="34"/>
  <c r="DW33" i="34"/>
  <c r="DV33" i="34"/>
  <c r="DU33" i="34"/>
  <c r="DT33" i="34"/>
  <c r="DS33" i="34"/>
  <c r="DR33" i="34"/>
  <c r="DQ33" i="34"/>
  <c r="DP33" i="34"/>
  <c r="DO33" i="34"/>
  <c r="DN33" i="34"/>
  <c r="DM33" i="34"/>
  <c r="DL33" i="34"/>
  <c r="DK33" i="34"/>
  <c r="DJ33" i="34"/>
  <c r="DI33" i="34"/>
  <c r="DH33" i="34"/>
  <c r="DG33" i="34"/>
  <c r="DF33" i="34"/>
  <c r="DE33" i="34"/>
  <c r="DD33" i="34"/>
  <c r="DC33" i="34"/>
  <c r="DB33" i="34"/>
  <c r="DA33" i="34"/>
  <c r="CZ33" i="34"/>
  <c r="CY33" i="34"/>
  <c r="CX33" i="34"/>
  <c r="CW33" i="34"/>
  <c r="CV33" i="34"/>
  <c r="CU33" i="34"/>
  <c r="CT33" i="34"/>
  <c r="CS33" i="34"/>
  <c r="CR33" i="34"/>
  <c r="CQ33" i="34"/>
  <c r="CP33" i="34"/>
  <c r="CK33" i="34"/>
  <c r="CJ33" i="34"/>
  <c r="CI33" i="34"/>
  <c r="CH33" i="34"/>
  <c r="CG33" i="34"/>
  <c r="CF33" i="34"/>
  <c r="CE33" i="34"/>
  <c r="CD33" i="34"/>
  <c r="CC33" i="34"/>
  <c r="CB33" i="34"/>
  <c r="CA33" i="34"/>
  <c r="BZ33" i="34"/>
  <c r="BY33" i="34"/>
  <c r="BX33" i="34"/>
  <c r="BW33" i="34"/>
  <c r="BV33" i="34"/>
  <c r="BU33" i="34"/>
  <c r="BT33" i="34"/>
  <c r="BS33" i="34"/>
  <c r="BR33" i="34"/>
  <c r="BQ33" i="34"/>
  <c r="BP33" i="34"/>
  <c r="BO33" i="34"/>
  <c r="BN33" i="34"/>
  <c r="BM33" i="34"/>
  <c r="BL33" i="34"/>
  <c r="BK33" i="34"/>
  <c r="BJ33" i="34"/>
  <c r="BI33" i="34"/>
  <c r="BH33" i="34"/>
  <c r="BG33" i="34"/>
  <c r="BF33" i="34"/>
  <c r="BE33" i="34"/>
  <c r="BD33" i="34"/>
  <c r="BC33" i="34"/>
  <c r="BB33" i="34"/>
  <c r="BA33" i="34"/>
  <c r="AZ33" i="34"/>
  <c r="AY33" i="34"/>
  <c r="AX33"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Z32" i="34"/>
  <c r="Y32" i="34"/>
  <c r="X32" i="34"/>
  <c r="Z31" i="34"/>
  <c r="Y31" i="34"/>
  <c r="X31" i="34"/>
  <c r="Z30" i="34"/>
  <c r="Y30" i="34"/>
  <c r="X30" i="34"/>
  <c r="W33" i="34"/>
  <c r="W32" i="34"/>
  <c r="W31" i="34"/>
  <c r="W30" i="34"/>
  <c r="V32" i="34"/>
  <c r="V31" i="34"/>
  <c r="V30" i="34"/>
  <c r="V33" i="34"/>
  <c r="U33" i="34"/>
  <c r="U32" i="34"/>
  <c r="U31" i="34"/>
  <c r="U30" i="34"/>
  <c r="T33" i="34"/>
  <c r="T32" i="34"/>
  <c r="T31" i="34"/>
  <c r="T30" i="34"/>
  <c r="S33" i="34"/>
  <c r="S32" i="34"/>
  <c r="S31" i="34"/>
  <c r="S30" i="34"/>
  <c r="P33" i="34"/>
  <c r="N33" i="34"/>
  <c r="O33" i="34"/>
  <c r="R33" i="34"/>
  <c r="R32" i="34"/>
  <c r="R31" i="34"/>
  <c r="R30" i="34"/>
  <c r="Q33" i="34"/>
  <c r="Q32" i="34"/>
  <c r="Q31" i="34"/>
  <c r="Q30" i="34"/>
  <c r="FN32" i="34"/>
  <c r="FM32" i="34"/>
  <c r="FL32" i="34"/>
  <c r="FK32" i="34"/>
  <c r="FJ32" i="34"/>
  <c r="FI32" i="34"/>
  <c r="FH32" i="34"/>
  <c r="FG32" i="34"/>
  <c r="FF32" i="34"/>
  <c r="FE32" i="34"/>
  <c r="FD32" i="34"/>
  <c r="FC32" i="34"/>
  <c r="FB32" i="34"/>
  <c r="FA32" i="34"/>
  <c r="EZ32" i="34"/>
  <c r="EY32" i="34"/>
  <c r="EX32" i="34"/>
  <c r="EW32" i="34"/>
  <c r="EV32" i="34"/>
  <c r="EU32" i="34"/>
  <c r="ET32" i="34"/>
  <c r="ES32" i="34"/>
  <c r="ER32" i="34"/>
  <c r="EQ32" i="34"/>
  <c r="EP32" i="34"/>
  <c r="EO32" i="34"/>
  <c r="EN32" i="34"/>
  <c r="EM32" i="34"/>
  <c r="EL32" i="34"/>
  <c r="EK32" i="34"/>
  <c r="EJ32" i="34"/>
  <c r="EI32" i="34"/>
  <c r="EH32" i="34"/>
  <c r="EG32" i="34"/>
  <c r="EF32" i="34"/>
  <c r="EE32" i="34"/>
  <c r="ED32" i="34"/>
  <c r="EC32" i="34"/>
  <c r="EB32" i="34"/>
  <c r="EA32" i="34"/>
  <c r="DZ32" i="34"/>
  <c r="DY32" i="34"/>
  <c r="DX32" i="34"/>
  <c r="DW32" i="34"/>
  <c r="DV32" i="34"/>
  <c r="DU32" i="34"/>
  <c r="DT32" i="34"/>
  <c r="DS32" i="34"/>
  <c r="DR32" i="34"/>
  <c r="DQ32" i="34"/>
  <c r="DP32" i="34"/>
  <c r="DO32" i="34"/>
  <c r="DN32" i="34"/>
  <c r="DM32" i="34"/>
  <c r="DL32" i="34"/>
  <c r="DK32" i="34"/>
  <c r="DJ32" i="34"/>
  <c r="DI32" i="34"/>
  <c r="DH32" i="34"/>
  <c r="DG32" i="34"/>
  <c r="DF32" i="34"/>
  <c r="DE32" i="34"/>
  <c r="DD32" i="34"/>
  <c r="DC32" i="34"/>
  <c r="DB32" i="34"/>
  <c r="DA32" i="34"/>
  <c r="CZ32" i="34"/>
  <c r="CY32" i="34"/>
  <c r="CX32" i="34"/>
  <c r="CW32" i="34"/>
  <c r="CV32" i="34"/>
  <c r="CU32" i="34"/>
  <c r="CT32" i="34"/>
  <c r="CS32" i="34"/>
  <c r="CR32" i="34"/>
  <c r="CQ32" i="34"/>
  <c r="CP32" i="34"/>
  <c r="CK32" i="34"/>
  <c r="CJ32" i="34"/>
  <c r="CI32" i="34"/>
  <c r="CH32" i="34"/>
  <c r="CG32" i="34"/>
  <c r="CF32" i="34"/>
  <c r="CE32" i="34"/>
  <c r="CD32" i="34"/>
  <c r="CC32" i="34"/>
  <c r="CB32" i="34"/>
  <c r="CA32" i="34"/>
  <c r="BZ32" i="34"/>
  <c r="BY32" i="34"/>
  <c r="BX32" i="34"/>
  <c r="BW32" i="34"/>
  <c r="BV32" i="34"/>
  <c r="BU32" i="34"/>
  <c r="BT32" i="34"/>
  <c r="BS32" i="34"/>
  <c r="BR32" i="34"/>
  <c r="BQ32" i="34"/>
  <c r="BP32" i="34"/>
  <c r="BO32" i="34"/>
  <c r="BN32" i="34"/>
  <c r="BM32" i="34"/>
  <c r="BL32" i="34"/>
  <c r="BK32" i="34"/>
  <c r="BJ32" i="34"/>
  <c r="BI32" i="34"/>
  <c r="BH32" i="34"/>
  <c r="BG32" i="34"/>
  <c r="BF32" i="34"/>
  <c r="BE32" i="34"/>
  <c r="BD32" i="34"/>
  <c r="BC32" i="34"/>
  <c r="BB32" i="34"/>
  <c r="BA32" i="34"/>
  <c r="AZ32" i="34"/>
  <c r="AY32" i="34"/>
  <c r="AX32"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P32" i="34"/>
  <c r="O32" i="34"/>
  <c r="N32" i="34"/>
  <c r="FN31" i="34"/>
  <c r="FM31" i="34"/>
  <c r="FL31" i="34"/>
  <c r="FK31" i="34"/>
  <c r="FJ31" i="34"/>
  <c r="FI31" i="34"/>
  <c r="FH31" i="34"/>
  <c r="FN30" i="34"/>
  <c r="FM30" i="34"/>
  <c r="FL30" i="34"/>
  <c r="FK30" i="34"/>
  <c r="FJ30" i="34"/>
  <c r="FI30" i="34"/>
  <c r="FH30" i="34"/>
  <c r="FN29" i="34"/>
  <c r="FM29" i="34"/>
  <c r="FL29" i="34"/>
  <c r="FK29" i="34"/>
  <c r="FJ29" i="34"/>
  <c r="FI29" i="34"/>
  <c r="FH29" i="34"/>
  <c r="FN28" i="34"/>
  <c r="FM28" i="34"/>
  <c r="FL28" i="34"/>
  <c r="FK28" i="34"/>
  <c r="FJ28" i="34"/>
  <c r="FI28" i="34"/>
  <c r="FH28" i="34"/>
  <c r="FN27" i="34"/>
  <c r="FM27" i="34"/>
  <c r="FL27" i="34"/>
  <c r="FK27" i="34"/>
  <c r="FJ27" i="34"/>
  <c r="FI27" i="34"/>
  <c r="FH27" i="34"/>
  <c r="FN26" i="34"/>
  <c r="FM26" i="34"/>
  <c r="FL26" i="34"/>
  <c r="FK26" i="34"/>
  <c r="FJ26" i="34"/>
  <c r="FI26" i="34"/>
  <c r="FH26" i="34"/>
  <c r="FN25" i="34"/>
  <c r="FM25" i="34"/>
  <c r="FL25" i="34"/>
  <c r="FK25" i="34"/>
  <c r="FJ25" i="34"/>
  <c r="FI25" i="34"/>
  <c r="FH25" i="34"/>
  <c r="FN24" i="34"/>
  <c r="FM24" i="34"/>
  <c r="FL24" i="34"/>
  <c r="FK24" i="34"/>
  <c r="FJ24" i="34"/>
  <c r="FI24" i="34"/>
  <c r="FH24" i="34"/>
  <c r="FN23" i="34"/>
  <c r="FM23" i="34"/>
  <c r="FL23" i="34"/>
  <c r="FK23" i="34"/>
  <c r="FJ23" i="34"/>
  <c r="FI23" i="34"/>
  <c r="FH23" i="34"/>
  <c r="FN22" i="34"/>
  <c r="FM22" i="34"/>
  <c r="FL22" i="34"/>
  <c r="FK22" i="34"/>
  <c r="FJ22" i="34"/>
  <c r="FI22" i="34"/>
  <c r="FH22" i="34"/>
  <c r="FN21" i="34"/>
  <c r="FM21" i="34"/>
  <c r="FL21" i="34"/>
  <c r="FK21" i="34"/>
  <c r="FJ21" i="34"/>
  <c r="FI21" i="34"/>
  <c r="FH21" i="34"/>
  <c r="FN20" i="34"/>
  <c r="FM20" i="34"/>
  <c r="FL20" i="34"/>
  <c r="FK20" i="34"/>
  <c r="FJ20" i="34"/>
  <c r="FI20" i="34"/>
  <c r="FH20" i="34"/>
  <c r="FN19" i="34"/>
  <c r="FM19" i="34"/>
  <c r="FL19" i="34"/>
  <c r="FK19" i="34"/>
  <c r="FJ19" i="34"/>
  <c r="FI19" i="34"/>
  <c r="FH19" i="34"/>
  <c r="FN18" i="34"/>
  <c r="FM18" i="34"/>
  <c r="FL18" i="34"/>
  <c r="FK18" i="34"/>
  <c r="FJ18" i="34"/>
  <c r="FI18" i="34"/>
  <c r="FH18" i="34"/>
  <c r="FN17" i="34"/>
  <c r="FM17" i="34"/>
  <c r="FL17" i="34"/>
  <c r="FK17" i="34"/>
  <c r="FJ17" i="34"/>
  <c r="FI17" i="34"/>
  <c r="FH17" i="34"/>
  <c r="FN16" i="34"/>
  <c r="FM16" i="34"/>
  <c r="FL16" i="34"/>
  <c r="FK16" i="34"/>
  <c r="FJ16" i="34"/>
  <c r="FI16" i="34"/>
  <c r="FH16" i="34"/>
  <c r="FN15" i="34"/>
  <c r="FM15" i="34"/>
  <c r="FL15" i="34"/>
  <c r="FK15" i="34"/>
  <c r="FJ15" i="34"/>
  <c r="FI15" i="34"/>
  <c r="FH15" i="34"/>
  <c r="FN14" i="34"/>
  <c r="FM14" i="34"/>
  <c r="FL14" i="34"/>
  <c r="FK14" i="34"/>
  <c r="FJ14" i="34"/>
  <c r="FI14" i="34"/>
  <c r="FH14" i="34"/>
  <c r="FN13" i="34"/>
  <c r="FM13" i="34"/>
  <c r="FL13" i="34"/>
  <c r="FK13" i="34"/>
  <c r="FJ13" i="34"/>
  <c r="FI13" i="34"/>
  <c r="FH13" i="34"/>
  <c r="FN12" i="34"/>
  <c r="FM12" i="34"/>
  <c r="FL12" i="34"/>
  <c r="FK12" i="34"/>
  <c r="FJ12" i="34"/>
  <c r="FI12" i="34"/>
  <c r="FH12" i="34"/>
  <c r="FN11" i="34"/>
  <c r="FM11" i="34"/>
  <c r="FL11" i="34"/>
  <c r="FK11" i="34"/>
  <c r="FJ11" i="34"/>
  <c r="FI11" i="34"/>
  <c r="FH11" i="34"/>
  <c r="FN10" i="34"/>
  <c r="FM10" i="34"/>
  <c r="FL10" i="34"/>
  <c r="FK10" i="34"/>
  <c r="FJ10" i="34"/>
  <c r="FI10" i="34"/>
  <c r="FH10" i="34"/>
  <c r="FN9" i="34"/>
  <c r="FM9" i="34"/>
  <c r="FL9" i="34"/>
  <c r="FK9" i="34"/>
  <c r="FJ9" i="34"/>
  <c r="FI9" i="34"/>
  <c r="FH9" i="34"/>
  <c r="FN8" i="34"/>
  <c r="FM8" i="34"/>
  <c r="FL8" i="34"/>
  <c r="FK8" i="34"/>
  <c r="FJ8" i="34"/>
  <c r="FI8" i="34"/>
  <c r="FH8" i="34"/>
  <c r="FN7" i="34"/>
  <c r="FM7" i="34"/>
  <c r="FL7" i="34"/>
  <c r="FK7" i="34"/>
  <c r="FJ7" i="34"/>
  <c r="FI7" i="34"/>
  <c r="FH7" i="34"/>
  <c r="FN6" i="34"/>
  <c r="FM6" i="34"/>
  <c r="FL6" i="34"/>
  <c r="FK6" i="34"/>
  <c r="FJ6" i="34"/>
  <c r="FI6" i="34"/>
  <c r="FH6" i="34"/>
  <c r="FN5" i="34"/>
  <c r="FM5" i="34"/>
  <c r="FL5" i="34"/>
  <c r="FK5" i="34"/>
  <c r="FJ5" i="34"/>
  <c r="FI5" i="34"/>
  <c r="FH5" i="34"/>
  <c r="FN4" i="34"/>
  <c r="FM4" i="34"/>
  <c r="FL4" i="34"/>
  <c r="FK4" i="34"/>
  <c r="FJ4" i="34"/>
  <c r="FI4" i="34"/>
  <c r="FH4" i="34"/>
  <c r="FN3" i="34"/>
  <c r="FL3" i="34"/>
  <c r="FJ3" i="34"/>
  <c r="FH3" i="34"/>
  <c r="FN1" i="34"/>
  <c r="FM1" i="34"/>
  <c r="FL1" i="34"/>
  <c r="FK1" i="34"/>
  <c r="FJ1" i="34"/>
  <c r="FI1" i="34"/>
  <c r="FH1" i="34"/>
  <c r="FG31" i="34"/>
  <c r="FF31" i="34"/>
  <c r="FE31" i="34"/>
  <c r="FD31" i="34"/>
  <c r="FC31" i="34"/>
  <c r="FB31" i="34"/>
  <c r="FA31" i="34"/>
  <c r="EZ31" i="34"/>
  <c r="EY31" i="34"/>
  <c r="EX31" i="34"/>
  <c r="FG30" i="34"/>
  <c r="FF30" i="34"/>
  <c r="FE30" i="34"/>
  <c r="FD30" i="34"/>
  <c r="FC30" i="34"/>
  <c r="FB30" i="34"/>
  <c r="FA30" i="34"/>
  <c r="EZ30" i="34"/>
  <c r="EY30" i="34"/>
  <c r="EX30" i="34"/>
  <c r="FG29" i="34"/>
  <c r="FF29" i="34"/>
  <c r="FE29" i="34"/>
  <c r="FD29" i="34"/>
  <c r="FC29" i="34"/>
  <c r="FB29" i="34"/>
  <c r="FA29" i="34"/>
  <c r="EZ29" i="34"/>
  <c r="EY29" i="34"/>
  <c r="EX29" i="34"/>
  <c r="FG28" i="34"/>
  <c r="FF28" i="34"/>
  <c r="FE28" i="34"/>
  <c r="FD28" i="34"/>
  <c r="FC28" i="34"/>
  <c r="FB28" i="34"/>
  <c r="FA28" i="34"/>
  <c r="EZ28" i="34"/>
  <c r="EY28" i="34"/>
  <c r="EX28" i="34"/>
  <c r="FG27" i="34"/>
  <c r="FF27" i="34"/>
  <c r="FE27" i="34"/>
  <c r="FD27" i="34"/>
  <c r="FC27" i="34"/>
  <c r="FB27" i="34"/>
  <c r="FA27" i="34"/>
  <c r="EZ27" i="34"/>
  <c r="EY27" i="34"/>
  <c r="EX27" i="34"/>
  <c r="FG26" i="34"/>
  <c r="FF26" i="34"/>
  <c r="FE26" i="34"/>
  <c r="FD26" i="34"/>
  <c r="FC26" i="34"/>
  <c r="FB26" i="34"/>
  <c r="FA26" i="34"/>
  <c r="EZ26" i="34"/>
  <c r="EY26" i="34"/>
  <c r="EX26" i="34"/>
  <c r="FG25" i="34"/>
  <c r="FF25" i="34"/>
  <c r="FE25" i="34"/>
  <c r="FD25" i="34"/>
  <c r="FC25" i="34"/>
  <c r="FB25" i="34"/>
  <c r="FA25" i="34"/>
  <c r="EZ25" i="34"/>
  <c r="EY25" i="34"/>
  <c r="EX25" i="34"/>
  <c r="FG24" i="34"/>
  <c r="FF24" i="34"/>
  <c r="FE24" i="34"/>
  <c r="FD24" i="34"/>
  <c r="FC24" i="34"/>
  <c r="FB24" i="34"/>
  <c r="FA24" i="34"/>
  <c r="EZ24" i="34"/>
  <c r="EY24" i="34"/>
  <c r="EX24" i="34"/>
  <c r="FG23" i="34"/>
  <c r="FF23" i="34"/>
  <c r="FE23" i="34"/>
  <c r="FD23" i="34"/>
  <c r="FC23" i="34"/>
  <c r="FB23" i="34"/>
  <c r="FA23" i="34"/>
  <c r="EZ23" i="34"/>
  <c r="EY23" i="34"/>
  <c r="EX23" i="34"/>
  <c r="FG22" i="34"/>
  <c r="FF22" i="34"/>
  <c r="FE22" i="34"/>
  <c r="FD22" i="34"/>
  <c r="FC22" i="34"/>
  <c r="FB22" i="34"/>
  <c r="FA22" i="34"/>
  <c r="EZ22" i="34"/>
  <c r="EY22" i="34"/>
  <c r="EX22" i="34"/>
  <c r="FG21" i="34"/>
  <c r="FF21" i="34"/>
  <c r="FE21" i="34"/>
  <c r="FD21" i="34"/>
  <c r="FC21" i="34"/>
  <c r="FB21" i="34"/>
  <c r="FA21" i="34"/>
  <c r="EZ21" i="34"/>
  <c r="EY21" i="34"/>
  <c r="EX21" i="34"/>
  <c r="FG20" i="34"/>
  <c r="FF20" i="34"/>
  <c r="FE20" i="34"/>
  <c r="FD20" i="34"/>
  <c r="FC20" i="34"/>
  <c r="FB20" i="34"/>
  <c r="FA20" i="34"/>
  <c r="EZ20" i="34"/>
  <c r="EY20" i="34"/>
  <c r="EX20" i="34"/>
  <c r="FG19" i="34"/>
  <c r="FF19" i="34"/>
  <c r="FE19" i="34"/>
  <c r="FD19" i="34"/>
  <c r="FC19" i="34"/>
  <c r="FB19" i="34"/>
  <c r="FA19" i="34"/>
  <c r="EZ19" i="34"/>
  <c r="EY19" i="34"/>
  <c r="EX19" i="34"/>
  <c r="FG18" i="34"/>
  <c r="FF18" i="34"/>
  <c r="FE18" i="34"/>
  <c r="FD18" i="34"/>
  <c r="FC18" i="34"/>
  <c r="FB18" i="34"/>
  <c r="FA18" i="34"/>
  <c r="EZ18" i="34"/>
  <c r="EY18" i="34"/>
  <c r="EX18" i="34"/>
  <c r="FG17" i="34"/>
  <c r="FF17" i="34"/>
  <c r="FE17" i="34"/>
  <c r="FD17" i="34"/>
  <c r="FC17" i="34"/>
  <c r="FB17" i="34"/>
  <c r="FA17" i="34"/>
  <c r="EZ17" i="34"/>
  <c r="EY17" i="34"/>
  <c r="EX17" i="34"/>
  <c r="FG16" i="34"/>
  <c r="FF16" i="34"/>
  <c r="FE16" i="34"/>
  <c r="FD16" i="34"/>
  <c r="FC16" i="34"/>
  <c r="FB16" i="34"/>
  <c r="FA16" i="34"/>
  <c r="EZ16" i="34"/>
  <c r="EY16" i="34"/>
  <c r="EX16" i="34"/>
  <c r="FG15" i="34"/>
  <c r="FF15" i="34"/>
  <c r="FE15" i="34"/>
  <c r="FD15" i="34"/>
  <c r="FC15" i="34"/>
  <c r="FB15" i="34"/>
  <c r="FA15" i="34"/>
  <c r="EZ15" i="34"/>
  <c r="EY15" i="34"/>
  <c r="EX15" i="34"/>
  <c r="FG14" i="34"/>
  <c r="FF14" i="34"/>
  <c r="FE14" i="34"/>
  <c r="FD14" i="34"/>
  <c r="FC14" i="34"/>
  <c r="FB14" i="34"/>
  <c r="FA14" i="34"/>
  <c r="EZ14" i="34"/>
  <c r="EY14" i="34"/>
  <c r="EX14" i="34"/>
  <c r="FG13" i="34"/>
  <c r="FF13" i="34"/>
  <c r="FE13" i="34"/>
  <c r="FD13" i="34"/>
  <c r="FC13" i="34"/>
  <c r="FB13" i="34"/>
  <c r="FA13" i="34"/>
  <c r="EZ13" i="34"/>
  <c r="EY13" i="34"/>
  <c r="EX13" i="34"/>
  <c r="FG12" i="34"/>
  <c r="FF12" i="34"/>
  <c r="FE12" i="34"/>
  <c r="FD12" i="34"/>
  <c r="FC12" i="34"/>
  <c r="FB12" i="34"/>
  <c r="FA12" i="34"/>
  <c r="EZ12" i="34"/>
  <c r="EY12" i="34"/>
  <c r="EX12" i="34"/>
  <c r="FG11" i="34"/>
  <c r="FF11" i="34"/>
  <c r="FE11" i="34"/>
  <c r="FD11" i="34"/>
  <c r="FC11" i="34"/>
  <c r="FB11" i="34"/>
  <c r="FA11" i="34"/>
  <c r="EZ11" i="34"/>
  <c r="EY11" i="34"/>
  <c r="EX11" i="34"/>
  <c r="FG10" i="34"/>
  <c r="FF10" i="34"/>
  <c r="FE10" i="34"/>
  <c r="FD10" i="34"/>
  <c r="FC10" i="34"/>
  <c r="FB10" i="34"/>
  <c r="FA10" i="34"/>
  <c r="EZ10" i="34"/>
  <c r="EY10" i="34"/>
  <c r="EX10" i="34"/>
  <c r="FG9" i="34"/>
  <c r="FF9" i="34"/>
  <c r="FE9" i="34"/>
  <c r="FD9" i="34"/>
  <c r="FC9" i="34"/>
  <c r="FB9" i="34"/>
  <c r="FA9" i="34"/>
  <c r="EZ9" i="34"/>
  <c r="EY9" i="34"/>
  <c r="EX9" i="34"/>
  <c r="FG8" i="34"/>
  <c r="FF8" i="34"/>
  <c r="FE8" i="34"/>
  <c r="FD8" i="34"/>
  <c r="FC8" i="34"/>
  <c r="FB8" i="34"/>
  <c r="FA8" i="34"/>
  <c r="EZ8" i="34"/>
  <c r="EY8" i="34"/>
  <c r="EX8" i="34"/>
  <c r="FG7" i="34"/>
  <c r="FF7" i="34"/>
  <c r="FE7" i="34"/>
  <c r="FD7" i="34"/>
  <c r="FC7" i="34"/>
  <c r="FB7" i="34"/>
  <c r="FA7" i="34"/>
  <c r="EZ7" i="34"/>
  <c r="EY7" i="34"/>
  <c r="EX7" i="34"/>
  <c r="FG6" i="34"/>
  <c r="FF6" i="34"/>
  <c r="FE6" i="34"/>
  <c r="FD6" i="34"/>
  <c r="FC6" i="34"/>
  <c r="FB6" i="34"/>
  <c r="FA6" i="34"/>
  <c r="EZ6" i="34"/>
  <c r="EY6" i="34"/>
  <c r="EX6" i="34"/>
  <c r="FG5" i="34"/>
  <c r="FF5" i="34"/>
  <c r="FE5" i="34"/>
  <c r="FD5" i="34"/>
  <c r="FC5" i="34"/>
  <c r="FB5" i="34"/>
  <c r="FA5" i="34"/>
  <c r="EZ5" i="34"/>
  <c r="EY5" i="34"/>
  <c r="EX5" i="34"/>
  <c r="FG4" i="34"/>
  <c r="FF4" i="34"/>
  <c r="FE4" i="34"/>
  <c r="FD4" i="34"/>
  <c r="FC4" i="34"/>
  <c r="FB4" i="34"/>
  <c r="FA4" i="34"/>
  <c r="EZ4" i="34"/>
  <c r="EY4" i="34"/>
  <c r="EX4" i="34"/>
  <c r="FF3" i="34"/>
  <c r="FD3" i="34"/>
  <c r="FB3" i="34"/>
  <c r="FA3" i="34"/>
  <c r="EZ3" i="34"/>
  <c r="EY3" i="34"/>
  <c r="EX3" i="34"/>
  <c r="FA2" i="34"/>
  <c r="FG1" i="34"/>
  <c r="FF1" i="34"/>
  <c r="FE1" i="34"/>
  <c r="FD1" i="34"/>
  <c r="FC1" i="34"/>
  <c r="FB1" i="34"/>
  <c r="FA1" i="34"/>
  <c r="EZ1" i="34"/>
  <c r="EY1" i="34"/>
  <c r="EX1" i="34"/>
  <c r="EW31" i="34"/>
  <c r="EV31" i="34"/>
  <c r="EU31" i="34"/>
  <c r="ET31" i="34"/>
  <c r="ES31" i="34"/>
  <c r="ER31" i="34"/>
  <c r="EQ31" i="34"/>
  <c r="EP31" i="34"/>
  <c r="EO31" i="34"/>
  <c r="EN31" i="34"/>
  <c r="EW30" i="34"/>
  <c r="EV30" i="34"/>
  <c r="EU30" i="34"/>
  <c r="ET30" i="34"/>
  <c r="ES30" i="34"/>
  <c r="ER30" i="34"/>
  <c r="EQ30" i="34"/>
  <c r="EP30" i="34"/>
  <c r="EO30" i="34"/>
  <c r="EN30" i="34"/>
  <c r="EW29" i="34"/>
  <c r="EV29" i="34"/>
  <c r="EU29" i="34"/>
  <c r="ET29" i="34"/>
  <c r="ES29" i="34"/>
  <c r="ER29" i="34"/>
  <c r="EQ29" i="34"/>
  <c r="EP29" i="34"/>
  <c r="EO29" i="34"/>
  <c r="EN29" i="34"/>
  <c r="EW28" i="34"/>
  <c r="EV28" i="34"/>
  <c r="EU28" i="34"/>
  <c r="ET28" i="34"/>
  <c r="ES28" i="34"/>
  <c r="ER28" i="34"/>
  <c r="EQ28" i="34"/>
  <c r="EP28" i="34"/>
  <c r="EO28" i="34"/>
  <c r="EN28" i="34"/>
  <c r="EW27" i="34"/>
  <c r="EV27" i="34"/>
  <c r="EU27" i="34"/>
  <c r="ET27" i="34"/>
  <c r="ES27" i="34"/>
  <c r="ER27" i="34"/>
  <c r="EQ27" i="34"/>
  <c r="EP27" i="34"/>
  <c r="EO27" i="34"/>
  <c r="EN27" i="34"/>
  <c r="EW26" i="34"/>
  <c r="EV26" i="34"/>
  <c r="EU26" i="34"/>
  <c r="ET26" i="34"/>
  <c r="ES26" i="34"/>
  <c r="ER26" i="34"/>
  <c r="EQ26" i="34"/>
  <c r="EP26" i="34"/>
  <c r="EO26" i="34"/>
  <c r="EN26" i="34"/>
  <c r="EW25" i="34"/>
  <c r="EV25" i="34"/>
  <c r="EU25" i="34"/>
  <c r="ET25" i="34"/>
  <c r="ES25" i="34"/>
  <c r="ER25" i="34"/>
  <c r="EQ25" i="34"/>
  <c r="EP25" i="34"/>
  <c r="EO25" i="34"/>
  <c r="EN25" i="34"/>
  <c r="EW24" i="34"/>
  <c r="EV24" i="34"/>
  <c r="EU24" i="34"/>
  <c r="ET24" i="34"/>
  <c r="ES24" i="34"/>
  <c r="ER24" i="34"/>
  <c r="EQ24" i="34"/>
  <c r="EP24" i="34"/>
  <c r="EO24" i="34"/>
  <c r="EN24" i="34"/>
  <c r="EW23" i="34"/>
  <c r="EV23" i="34"/>
  <c r="EU23" i="34"/>
  <c r="ET23" i="34"/>
  <c r="ES23" i="34"/>
  <c r="ER23" i="34"/>
  <c r="EQ23" i="34"/>
  <c r="EP23" i="34"/>
  <c r="EO23" i="34"/>
  <c r="EN23" i="34"/>
  <c r="EW22" i="34"/>
  <c r="EV22" i="34"/>
  <c r="EU22" i="34"/>
  <c r="ET22" i="34"/>
  <c r="ES22" i="34"/>
  <c r="ER22" i="34"/>
  <c r="EQ22" i="34"/>
  <c r="EP22" i="34"/>
  <c r="EO22" i="34"/>
  <c r="EN22" i="34"/>
  <c r="EW21" i="34"/>
  <c r="EV21" i="34"/>
  <c r="EU21" i="34"/>
  <c r="ET21" i="34"/>
  <c r="ES21" i="34"/>
  <c r="ER21" i="34"/>
  <c r="EQ21" i="34"/>
  <c r="EP21" i="34"/>
  <c r="EO21" i="34"/>
  <c r="EN21" i="34"/>
  <c r="EW20" i="34"/>
  <c r="EV20" i="34"/>
  <c r="EU20" i="34"/>
  <c r="ET20" i="34"/>
  <c r="ES20" i="34"/>
  <c r="ER20" i="34"/>
  <c r="EQ20" i="34"/>
  <c r="EP20" i="34"/>
  <c r="EO20" i="34"/>
  <c r="EN20" i="34"/>
  <c r="EW19" i="34"/>
  <c r="EV19" i="34"/>
  <c r="EU19" i="34"/>
  <c r="ET19" i="34"/>
  <c r="ES19" i="34"/>
  <c r="ER19" i="34"/>
  <c r="EQ19" i="34"/>
  <c r="EP19" i="34"/>
  <c r="EO19" i="34"/>
  <c r="EN19" i="34"/>
  <c r="EW18" i="34"/>
  <c r="EV18" i="34"/>
  <c r="EU18" i="34"/>
  <c r="ET18" i="34"/>
  <c r="ES18" i="34"/>
  <c r="ER18" i="34"/>
  <c r="EQ18" i="34"/>
  <c r="EP18" i="34"/>
  <c r="EO18" i="34"/>
  <c r="EN18" i="34"/>
  <c r="EW17" i="34"/>
  <c r="EV17" i="34"/>
  <c r="EU17" i="34"/>
  <c r="ET17" i="34"/>
  <c r="ES17" i="34"/>
  <c r="ER17" i="34"/>
  <c r="EQ17" i="34"/>
  <c r="EP17" i="34"/>
  <c r="EO17" i="34"/>
  <c r="EN17" i="34"/>
  <c r="EW16" i="34"/>
  <c r="EV16" i="34"/>
  <c r="EU16" i="34"/>
  <c r="ET16" i="34"/>
  <c r="ES16" i="34"/>
  <c r="ER16" i="34"/>
  <c r="EQ16" i="34"/>
  <c r="EP16" i="34"/>
  <c r="EO16" i="34"/>
  <c r="EN16" i="34"/>
  <c r="EW15" i="34"/>
  <c r="EV15" i="34"/>
  <c r="EU15" i="34"/>
  <c r="ET15" i="34"/>
  <c r="ES15" i="34"/>
  <c r="ER15" i="34"/>
  <c r="EQ15" i="34"/>
  <c r="EP15" i="34"/>
  <c r="EO15" i="34"/>
  <c r="EN15" i="34"/>
  <c r="EW14" i="34"/>
  <c r="EV14" i="34"/>
  <c r="EU14" i="34"/>
  <c r="ET14" i="34"/>
  <c r="ES14" i="34"/>
  <c r="ER14" i="34"/>
  <c r="EQ14" i="34"/>
  <c r="EP14" i="34"/>
  <c r="EO14" i="34"/>
  <c r="EN14" i="34"/>
  <c r="EW13" i="34"/>
  <c r="EV13" i="34"/>
  <c r="EU13" i="34"/>
  <c r="ET13" i="34"/>
  <c r="ES13" i="34"/>
  <c r="ER13" i="34"/>
  <c r="EQ13" i="34"/>
  <c r="EP13" i="34"/>
  <c r="EO13" i="34"/>
  <c r="EN13" i="34"/>
  <c r="EW12" i="34"/>
  <c r="EV12" i="34"/>
  <c r="EU12" i="34"/>
  <c r="ET12" i="34"/>
  <c r="ES12" i="34"/>
  <c r="ER12" i="34"/>
  <c r="EQ12" i="34"/>
  <c r="EP12" i="34"/>
  <c r="EO12" i="34"/>
  <c r="EN12" i="34"/>
  <c r="EW11" i="34"/>
  <c r="EV11" i="34"/>
  <c r="EU11" i="34"/>
  <c r="ET11" i="34"/>
  <c r="ES11" i="34"/>
  <c r="ER11" i="34"/>
  <c r="EQ11" i="34"/>
  <c r="EP11" i="34"/>
  <c r="EO11" i="34"/>
  <c r="EN11" i="34"/>
  <c r="EW10" i="34"/>
  <c r="EV10" i="34"/>
  <c r="EU10" i="34"/>
  <c r="ET10" i="34"/>
  <c r="ES10" i="34"/>
  <c r="ER10" i="34"/>
  <c r="EQ10" i="34"/>
  <c r="EP10" i="34"/>
  <c r="EO10" i="34"/>
  <c r="EN10" i="34"/>
  <c r="EW9" i="34"/>
  <c r="EV9" i="34"/>
  <c r="EU9" i="34"/>
  <c r="ET9" i="34"/>
  <c r="ES9" i="34"/>
  <c r="ER9" i="34"/>
  <c r="EQ9" i="34"/>
  <c r="EP9" i="34"/>
  <c r="EO9" i="34"/>
  <c r="EN9" i="34"/>
  <c r="EW8" i="34"/>
  <c r="EV8" i="34"/>
  <c r="EU8" i="34"/>
  <c r="ET8" i="34"/>
  <c r="ES8" i="34"/>
  <c r="ER8" i="34"/>
  <c r="EQ8" i="34"/>
  <c r="EP8" i="34"/>
  <c r="EO8" i="34"/>
  <c r="EN8" i="34"/>
  <c r="EW7" i="34"/>
  <c r="EV7" i="34"/>
  <c r="EU7" i="34"/>
  <c r="ET7" i="34"/>
  <c r="ES7" i="34"/>
  <c r="ER7" i="34"/>
  <c r="EQ7" i="34"/>
  <c r="EP7" i="34"/>
  <c r="EO7" i="34"/>
  <c r="EN7" i="34"/>
  <c r="EW6" i="34"/>
  <c r="EV6" i="34"/>
  <c r="EU6" i="34"/>
  <c r="ET6" i="34"/>
  <c r="ES6" i="34"/>
  <c r="ER6" i="34"/>
  <c r="EQ6" i="34"/>
  <c r="EP6" i="34"/>
  <c r="EO6" i="34"/>
  <c r="EN6" i="34"/>
  <c r="EW5" i="34"/>
  <c r="EV5" i="34"/>
  <c r="EU5" i="34"/>
  <c r="ET5" i="34"/>
  <c r="ES5" i="34"/>
  <c r="ER5" i="34"/>
  <c r="EQ5" i="34"/>
  <c r="EP5" i="34"/>
  <c r="EO5" i="34"/>
  <c r="EN5" i="34"/>
  <c r="EW4" i="34"/>
  <c r="EV4" i="34"/>
  <c r="EU4" i="34"/>
  <c r="ET4" i="34"/>
  <c r="ES4" i="34"/>
  <c r="ER4" i="34"/>
  <c r="EQ4" i="34"/>
  <c r="EP4" i="34"/>
  <c r="EO4" i="34"/>
  <c r="EN4" i="34"/>
  <c r="EW3" i="34"/>
  <c r="EV3" i="34"/>
  <c r="EU3" i="34"/>
  <c r="ET3" i="34"/>
  <c r="ES3" i="34"/>
  <c r="ER3" i="34"/>
  <c r="EQ3" i="34"/>
  <c r="EP3" i="34"/>
  <c r="EO3" i="34"/>
  <c r="EN3" i="34"/>
  <c r="ER2" i="34"/>
  <c r="EO2" i="34"/>
  <c r="EN2" i="34"/>
  <c r="EW1" i="34"/>
  <c r="EV1" i="34"/>
  <c r="EU1" i="34"/>
  <c r="ET1" i="34"/>
  <c r="ES1" i="34"/>
  <c r="ER1" i="34"/>
  <c r="EQ1" i="34"/>
  <c r="EP1" i="34"/>
  <c r="EO1" i="34"/>
  <c r="EN1" i="34"/>
  <c r="EM31" i="34"/>
  <c r="EL31" i="34"/>
  <c r="EK31" i="34"/>
  <c r="EJ31" i="34"/>
  <c r="EI31" i="34"/>
  <c r="EH31" i="34"/>
  <c r="EG31" i="34"/>
  <c r="EF31" i="34"/>
  <c r="EE31" i="34"/>
  <c r="ED31" i="34"/>
  <c r="EM30" i="34"/>
  <c r="EL30" i="34"/>
  <c r="EK30" i="34"/>
  <c r="EJ30" i="34"/>
  <c r="EI30" i="34"/>
  <c r="EH30" i="34"/>
  <c r="EG30" i="34"/>
  <c r="EF30" i="34"/>
  <c r="EE30" i="34"/>
  <c r="ED30" i="34"/>
  <c r="EM29" i="34"/>
  <c r="EL29" i="34"/>
  <c r="EK29" i="34"/>
  <c r="EJ29" i="34"/>
  <c r="EI29" i="34"/>
  <c r="EH29" i="34"/>
  <c r="EG29" i="34"/>
  <c r="EF29" i="34"/>
  <c r="EE29" i="34"/>
  <c r="ED29" i="34"/>
  <c r="EM28" i="34"/>
  <c r="EL28" i="34"/>
  <c r="EK28" i="34"/>
  <c r="EJ28" i="34"/>
  <c r="EI28" i="34"/>
  <c r="EH28" i="34"/>
  <c r="EG28" i="34"/>
  <c r="EF28" i="34"/>
  <c r="EE28" i="34"/>
  <c r="ED28" i="34"/>
  <c r="EM27" i="34"/>
  <c r="EL27" i="34"/>
  <c r="EK27" i="34"/>
  <c r="EJ27" i="34"/>
  <c r="EI27" i="34"/>
  <c r="EH27" i="34"/>
  <c r="EG27" i="34"/>
  <c r="EF27" i="34"/>
  <c r="EE27" i="34"/>
  <c r="ED27" i="34"/>
  <c r="EM26" i="34"/>
  <c r="EL26" i="34"/>
  <c r="EK26" i="34"/>
  <c r="EJ26" i="34"/>
  <c r="EI26" i="34"/>
  <c r="EH26" i="34"/>
  <c r="EG26" i="34"/>
  <c r="EF26" i="34"/>
  <c r="EE26" i="34"/>
  <c r="ED26" i="34"/>
  <c r="EM25" i="34"/>
  <c r="EL25" i="34"/>
  <c r="EK25" i="34"/>
  <c r="EJ25" i="34"/>
  <c r="EI25" i="34"/>
  <c r="EH25" i="34"/>
  <c r="EG25" i="34"/>
  <c r="EF25" i="34"/>
  <c r="EE25" i="34"/>
  <c r="ED25" i="34"/>
  <c r="EM24" i="34"/>
  <c r="EL24" i="34"/>
  <c r="EK24" i="34"/>
  <c r="EJ24" i="34"/>
  <c r="EI24" i="34"/>
  <c r="EH24" i="34"/>
  <c r="EG24" i="34"/>
  <c r="EF24" i="34"/>
  <c r="EE24" i="34"/>
  <c r="ED24" i="34"/>
  <c r="EM23" i="34"/>
  <c r="EL23" i="34"/>
  <c r="EK23" i="34"/>
  <c r="EJ23" i="34"/>
  <c r="EI23" i="34"/>
  <c r="EH23" i="34"/>
  <c r="EG23" i="34"/>
  <c r="EF23" i="34"/>
  <c r="EE23" i="34"/>
  <c r="ED23" i="34"/>
  <c r="EM22" i="34"/>
  <c r="EL22" i="34"/>
  <c r="EK22" i="34"/>
  <c r="EJ22" i="34"/>
  <c r="EI22" i="34"/>
  <c r="EH22" i="34"/>
  <c r="EG22" i="34"/>
  <c r="EF22" i="34"/>
  <c r="EE22" i="34"/>
  <c r="ED22" i="34"/>
  <c r="EM21" i="34"/>
  <c r="EL21" i="34"/>
  <c r="EK21" i="34"/>
  <c r="EJ21" i="34"/>
  <c r="EI21" i="34"/>
  <c r="EH21" i="34"/>
  <c r="EG21" i="34"/>
  <c r="EF21" i="34"/>
  <c r="EE21" i="34"/>
  <c r="ED21" i="34"/>
  <c r="EM20" i="34"/>
  <c r="EL20" i="34"/>
  <c r="EK20" i="34"/>
  <c r="EJ20" i="34"/>
  <c r="EI20" i="34"/>
  <c r="EH20" i="34"/>
  <c r="EG20" i="34"/>
  <c r="EF20" i="34"/>
  <c r="EE20" i="34"/>
  <c r="ED20" i="34"/>
  <c r="EM19" i="34"/>
  <c r="EL19" i="34"/>
  <c r="EK19" i="34"/>
  <c r="EJ19" i="34"/>
  <c r="EI19" i="34"/>
  <c r="EH19" i="34"/>
  <c r="EG19" i="34"/>
  <c r="EF19" i="34"/>
  <c r="EE19" i="34"/>
  <c r="ED19" i="34"/>
  <c r="EM18" i="34"/>
  <c r="EL18" i="34"/>
  <c r="EK18" i="34"/>
  <c r="EJ18" i="34"/>
  <c r="EI18" i="34"/>
  <c r="EH18" i="34"/>
  <c r="EG18" i="34"/>
  <c r="EF18" i="34"/>
  <c r="EE18" i="34"/>
  <c r="ED18" i="34"/>
  <c r="EM17" i="34"/>
  <c r="EL17" i="34"/>
  <c r="EK17" i="34"/>
  <c r="EJ17" i="34"/>
  <c r="EI17" i="34"/>
  <c r="EH17" i="34"/>
  <c r="EG17" i="34"/>
  <c r="EF17" i="34"/>
  <c r="EE17" i="34"/>
  <c r="ED17" i="34"/>
  <c r="EM16" i="34"/>
  <c r="EL16" i="34"/>
  <c r="EK16" i="34"/>
  <c r="EJ16" i="34"/>
  <c r="EI16" i="34"/>
  <c r="EH16" i="34"/>
  <c r="EG16" i="34"/>
  <c r="EF16" i="34"/>
  <c r="EE16" i="34"/>
  <c r="ED16" i="34"/>
  <c r="EM15" i="34"/>
  <c r="EL15" i="34"/>
  <c r="EK15" i="34"/>
  <c r="EJ15" i="34"/>
  <c r="EI15" i="34"/>
  <c r="EH15" i="34"/>
  <c r="EG15" i="34"/>
  <c r="EF15" i="34"/>
  <c r="EE15" i="34"/>
  <c r="ED15" i="34"/>
  <c r="EM14" i="34"/>
  <c r="EL14" i="34"/>
  <c r="EK14" i="34"/>
  <c r="EJ14" i="34"/>
  <c r="EI14" i="34"/>
  <c r="EH14" i="34"/>
  <c r="EG14" i="34"/>
  <c r="EF14" i="34"/>
  <c r="EE14" i="34"/>
  <c r="ED14" i="34"/>
  <c r="EM13" i="34"/>
  <c r="EL13" i="34"/>
  <c r="EK13" i="34"/>
  <c r="EJ13" i="34"/>
  <c r="EI13" i="34"/>
  <c r="EH13" i="34"/>
  <c r="EG13" i="34"/>
  <c r="EF13" i="34"/>
  <c r="EE13" i="34"/>
  <c r="ED13" i="34"/>
  <c r="EM12" i="34"/>
  <c r="EL12" i="34"/>
  <c r="EK12" i="34"/>
  <c r="EJ12" i="34"/>
  <c r="EI12" i="34"/>
  <c r="EH12" i="34"/>
  <c r="EG12" i="34"/>
  <c r="EF12" i="34"/>
  <c r="EE12" i="34"/>
  <c r="ED12" i="34"/>
  <c r="EM11" i="34"/>
  <c r="EL11" i="34"/>
  <c r="EK11" i="34"/>
  <c r="EJ11" i="34"/>
  <c r="EI11" i="34"/>
  <c r="EH11" i="34"/>
  <c r="EG11" i="34"/>
  <c r="EF11" i="34"/>
  <c r="EE11" i="34"/>
  <c r="ED11" i="34"/>
  <c r="EM10" i="34"/>
  <c r="EL10" i="34"/>
  <c r="EK10" i="34"/>
  <c r="EJ10" i="34"/>
  <c r="EI10" i="34"/>
  <c r="EH10" i="34"/>
  <c r="EG10" i="34"/>
  <c r="EF10" i="34"/>
  <c r="EE10" i="34"/>
  <c r="ED10" i="34"/>
  <c r="EM9" i="34"/>
  <c r="EL9" i="34"/>
  <c r="EK9" i="34"/>
  <c r="EJ9" i="34"/>
  <c r="EI9" i="34"/>
  <c r="EH9" i="34"/>
  <c r="EG9" i="34"/>
  <c r="EF9" i="34"/>
  <c r="EE9" i="34"/>
  <c r="ED9" i="34"/>
  <c r="EM8" i="34"/>
  <c r="EL8" i="34"/>
  <c r="EK8" i="34"/>
  <c r="EJ8" i="34"/>
  <c r="EI8" i="34"/>
  <c r="EH8" i="34"/>
  <c r="EG8" i="34"/>
  <c r="EF8" i="34"/>
  <c r="EE8" i="34"/>
  <c r="ED8" i="34"/>
  <c r="EM7" i="34"/>
  <c r="EL7" i="34"/>
  <c r="EK7" i="34"/>
  <c r="EJ7" i="34"/>
  <c r="EI7" i="34"/>
  <c r="EH7" i="34"/>
  <c r="EG7" i="34"/>
  <c r="EF7" i="34"/>
  <c r="EE7" i="34"/>
  <c r="ED7" i="34"/>
  <c r="EM6" i="34"/>
  <c r="EL6" i="34"/>
  <c r="EK6" i="34"/>
  <c r="EJ6" i="34"/>
  <c r="EI6" i="34"/>
  <c r="EH6" i="34"/>
  <c r="EG6" i="34"/>
  <c r="EF6" i="34"/>
  <c r="EE6" i="34"/>
  <c r="ED6" i="34"/>
  <c r="EM5" i="34"/>
  <c r="EL5" i="34"/>
  <c r="EK5" i="34"/>
  <c r="EJ5" i="34"/>
  <c r="EI5" i="34"/>
  <c r="EH5" i="34"/>
  <c r="EG5" i="34"/>
  <c r="EF5" i="34"/>
  <c r="EE5" i="34"/>
  <c r="ED5" i="34"/>
  <c r="EM4" i="34"/>
  <c r="EL4" i="34"/>
  <c r="EK4" i="34"/>
  <c r="EJ4" i="34"/>
  <c r="EI4" i="34"/>
  <c r="EH4" i="34"/>
  <c r="EG4" i="34"/>
  <c r="EF4" i="34"/>
  <c r="EE4" i="34"/>
  <c r="ED4" i="34"/>
  <c r="EM3" i="34"/>
  <c r="EL3" i="34"/>
  <c r="EK3" i="34"/>
  <c r="EJ3" i="34"/>
  <c r="EI3" i="34"/>
  <c r="EH3" i="34"/>
  <c r="EG3" i="34"/>
  <c r="EF3" i="34"/>
  <c r="EE3" i="34"/>
  <c r="ED3" i="34"/>
  <c r="EM2" i="34"/>
  <c r="EL2" i="34"/>
  <c r="EK2" i="34"/>
  <c r="EJ2" i="34"/>
  <c r="EI2" i="34"/>
  <c r="EH2" i="34"/>
  <c r="EG2" i="34"/>
  <c r="EF2" i="34"/>
  <c r="EE2" i="34"/>
  <c r="ED2" i="34"/>
  <c r="EM1" i="34"/>
  <c r="EL1" i="34"/>
  <c r="EK1" i="34"/>
  <c r="EJ1" i="34"/>
  <c r="EI1" i="34"/>
  <c r="EH1" i="34"/>
  <c r="EG1" i="34"/>
  <c r="EF1" i="34"/>
  <c r="EE1" i="34"/>
  <c r="ED1" i="34"/>
  <c r="EC31" i="34"/>
  <c r="EB31" i="34"/>
  <c r="EA31" i="34"/>
  <c r="DZ31" i="34"/>
  <c r="DY31" i="34"/>
  <c r="DX31" i="34"/>
  <c r="DW31" i="34"/>
  <c r="DV31" i="34"/>
  <c r="DU31" i="34"/>
  <c r="DT31" i="34"/>
  <c r="EC30" i="34"/>
  <c r="EB30" i="34"/>
  <c r="EA30" i="34"/>
  <c r="DZ30" i="34"/>
  <c r="DY30" i="34"/>
  <c r="DX30" i="34"/>
  <c r="DW30" i="34"/>
  <c r="DV30" i="34"/>
  <c r="DU30" i="34"/>
  <c r="DT30" i="34"/>
  <c r="EC29" i="34"/>
  <c r="EB29" i="34"/>
  <c r="EA29" i="34"/>
  <c r="DZ29" i="34"/>
  <c r="DY29" i="34"/>
  <c r="DX29" i="34"/>
  <c r="DW29" i="34"/>
  <c r="DV29" i="34"/>
  <c r="DU29" i="34"/>
  <c r="DT29" i="34"/>
  <c r="EC28" i="34"/>
  <c r="EB28" i="34"/>
  <c r="EA28" i="34"/>
  <c r="DZ28" i="34"/>
  <c r="DY28" i="34"/>
  <c r="DX28" i="34"/>
  <c r="DW28" i="34"/>
  <c r="DV28" i="34"/>
  <c r="DU28" i="34"/>
  <c r="DT28" i="34"/>
  <c r="EC27" i="34"/>
  <c r="EB27" i="34"/>
  <c r="EA27" i="34"/>
  <c r="DZ27" i="34"/>
  <c r="DY27" i="34"/>
  <c r="DX27" i="34"/>
  <c r="DW27" i="34"/>
  <c r="DV27" i="34"/>
  <c r="DU27" i="34"/>
  <c r="DT27" i="34"/>
  <c r="EC26" i="34"/>
  <c r="EB26" i="34"/>
  <c r="EA26" i="34"/>
  <c r="DZ26" i="34"/>
  <c r="DY26" i="34"/>
  <c r="DX26" i="34"/>
  <c r="DW26" i="34"/>
  <c r="DV26" i="34"/>
  <c r="DU26" i="34"/>
  <c r="DT26" i="34"/>
  <c r="EC25" i="34"/>
  <c r="EB25" i="34"/>
  <c r="EA25" i="34"/>
  <c r="DZ25" i="34"/>
  <c r="DY25" i="34"/>
  <c r="DX25" i="34"/>
  <c r="DW25" i="34"/>
  <c r="DV25" i="34"/>
  <c r="DU25" i="34"/>
  <c r="DT25" i="34"/>
  <c r="EC24" i="34"/>
  <c r="EB24" i="34"/>
  <c r="EA24" i="34"/>
  <c r="DZ24" i="34"/>
  <c r="DY24" i="34"/>
  <c r="DX24" i="34"/>
  <c r="DW24" i="34"/>
  <c r="DV24" i="34"/>
  <c r="DU24" i="34"/>
  <c r="DT24" i="34"/>
  <c r="EC23" i="34"/>
  <c r="EB23" i="34"/>
  <c r="EA23" i="34"/>
  <c r="DZ23" i="34"/>
  <c r="DY23" i="34"/>
  <c r="DX23" i="34"/>
  <c r="DW23" i="34"/>
  <c r="DV23" i="34"/>
  <c r="DU23" i="34"/>
  <c r="DT23" i="34"/>
  <c r="EC22" i="34"/>
  <c r="EB22" i="34"/>
  <c r="EA22" i="34"/>
  <c r="DZ22" i="34"/>
  <c r="DY22" i="34"/>
  <c r="DX22" i="34"/>
  <c r="DW22" i="34"/>
  <c r="DV22" i="34"/>
  <c r="DU22" i="34"/>
  <c r="DT22" i="34"/>
  <c r="EC21" i="34"/>
  <c r="EB21" i="34"/>
  <c r="EA21" i="34"/>
  <c r="DZ21" i="34"/>
  <c r="DY21" i="34"/>
  <c r="DX21" i="34"/>
  <c r="DW21" i="34"/>
  <c r="DV21" i="34"/>
  <c r="DU21" i="34"/>
  <c r="DT21" i="34"/>
  <c r="EC20" i="34"/>
  <c r="EB20" i="34"/>
  <c r="EA20" i="34"/>
  <c r="DZ20" i="34"/>
  <c r="DY20" i="34"/>
  <c r="DX20" i="34"/>
  <c r="DW20" i="34"/>
  <c r="DV20" i="34"/>
  <c r="DU20" i="34"/>
  <c r="DT20" i="34"/>
  <c r="EC19" i="34"/>
  <c r="EB19" i="34"/>
  <c r="EA19" i="34"/>
  <c r="DZ19" i="34"/>
  <c r="DY19" i="34"/>
  <c r="DX19" i="34"/>
  <c r="DW19" i="34"/>
  <c r="DV19" i="34"/>
  <c r="DU19" i="34"/>
  <c r="DT19" i="34"/>
  <c r="EC18" i="34"/>
  <c r="EB18" i="34"/>
  <c r="EA18" i="34"/>
  <c r="DZ18" i="34"/>
  <c r="DY18" i="34"/>
  <c r="DX18" i="34"/>
  <c r="DW18" i="34"/>
  <c r="DV18" i="34"/>
  <c r="DU18" i="34"/>
  <c r="DT18" i="34"/>
  <c r="EC17" i="34"/>
  <c r="EB17" i="34"/>
  <c r="EA17" i="34"/>
  <c r="DZ17" i="34"/>
  <c r="DY17" i="34"/>
  <c r="DX17" i="34"/>
  <c r="DW17" i="34"/>
  <c r="DV17" i="34"/>
  <c r="DU17" i="34"/>
  <c r="DT17" i="34"/>
  <c r="EC16" i="34"/>
  <c r="EB16" i="34"/>
  <c r="EA16" i="34"/>
  <c r="DZ16" i="34"/>
  <c r="DY16" i="34"/>
  <c r="DX16" i="34"/>
  <c r="DW16" i="34"/>
  <c r="DV16" i="34"/>
  <c r="DU16" i="34"/>
  <c r="DT16" i="34"/>
  <c r="EC15" i="34"/>
  <c r="EB15" i="34"/>
  <c r="EA15" i="34"/>
  <c r="DZ15" i="34"/>
  <c r="DY15" i="34"/>
  <c r="DX15" i="34"/>
  <c r="DW15" i="34"/>
  <c r="DV15" i="34"/>
  <c r="DU15" i="34"/>
  <c r="DT15" i="34"/>
  <c r="EC14" i="34"/>
  <c r="EB14" i="34"/>
  <c r="EA14" i="34"/>
  <c r="DZ14" i="34"/>
  <c r="DY14" i="34"/>
  <c r="DX14" i="34"/>
  <c r="DW14" i="34"/>
  <c r="DV14" i="34"/>
  <c r="DU14" i="34"/>
  <c r="DT14" i="34"/>
  <c r="EC13" i="34"/>
  <c r="EB13" i="34"/>
  <c r="EA13" i="34"/>
  <c r="DZ13" i="34"/>
  <c r="DY13" i="34"/>
  <c r="DX13" i="34"/>
  <c r="DW13" i="34"/>
  <c r="DV13" i="34"/>
  <c r="DU13" i="34"/>
  <c r="DT13" i="34"/>
  <c r="EC12" i="34"/>
  <c r="EB12" i="34"/>
  <c r="EA12" i="34"/>
  <c r="DZ12" i="34"/>
  <c r="DY12" i="34"/>
  <c r="DX12" i="34"/>
  <c r="DW12" i="34"/>
  <c r="DV12" i="34"/>
  <c r="DU12" i="34"/>
  <c r="DT12" i="34"/>
  <c r="EC11" i="34"/>
  <c r="EB11" i="34"/>
  <c r="EA11" i="34"/>
  <c r="DZ11" i="34"/>
  <c r="DY11" i="34"/>
  <c r="DX11" i="34"/>
  <c r="DW11" i="34"/>
  <c r="DV11" i="34"/>
  <c r="DU11" i="34"/>
  <c r="DT11" i="34"/>
  <c r="EC10" i="34"/>
  <c r="EB10" i="34"/>
  <c r="EA10" i="34"/>
  <c r="DZ10" i="34"/>
  <c r="DY10" i="34"/>
  <c r="DX10" i="34"/>
  <c r="DW10" i="34"/>
  <c r="DV10" i="34"/>
  <c r="DU10" i="34"/>
  <c r="DT10" i="34"/>
  <c r="EC9" i="34"/>
  <c r="EB9" i="34"/>
  <c r="EA9" i="34"/>
  <c r="DZ9" i="34"/>
  <c r="DY9" i="34"/>
  <c r="DX9" i="34"/>
  <c r="DW9" i="34"/>
  <c r="DV9" i="34"/>
  <c r="DU9" i="34"/>
  <c r="DT9" i="34"/>
  <c r="EC8" i="34"/>
  <c r="EB8" i="34"/>
  <c r="EA8" i="34"/>
  <c r="DZ8" i="34"/>
  <c r="DY8" i="34"/>
  <c r="DX8" i="34"/>
  <c r="DW8" i="34"/>
  <c r="DV8" i="34"/>
  <c r="DU8" i="34"/>
  <c r="DT8" i="34"/>
  <c r="EC7" i="34"/>
  <c r="EB7" i="34"/>
  <c r="EA7" i="34"/>
  <c r="DZ7" i="34"/>
  <c r="DY7" i="34"/>
  <c r="DX7" i="34"/>
  <c r="DW7" i="34"/>
  <c r="DV7" i="34"/>
  <c r="DU7" i="34"/>
  <c r="DT7" i="34"/>
  <c r="EC6" i="34"/>
  <c r="EB6" i="34"/>
  <c r="EA6" i="34"/>
  <c r="DZ6" i="34"/>
  <c r="DY6" i="34"/>
  <c r="DX6" i="34"/>
  <c r="DW6" i="34"/>
  <c r="DV6" i="34"/>
  <c r="DU6" i="34"/>
  <c r="DT6" i="34"/>
  <c r="EC5" i="34"/>
  <c r="EB5" i="34"/>
  <c r="EA5" i="34"/>
  <c r="DZ5" i="34"/>
  <c r="DY5" i="34"/>
  <c r="DX5" i="34"/>
  <c r="DW5" i="34"/>
  <c r="DV5" i="34"/>
  <c r="DU5" i="34"/>
  <c r="DT5" i="34"/>
  <c r="EC4" i="34"/>
  <c r="EB4" i="34"/>
  <c r="EA4" i="34"/>
  <c r="DZ4" i="34"/>
  <c r="DY4" i="34"/>
  <c r="DX4" i="34"/>
  <c r="DW4" i="34"/>
  <c r="DV4" i="34"/>
  <c r="DU4" i="34"/>
  <c r="DT4" i="34"/>
  <c r="EC3" i="34"/>
  <c r="EB3" i="34"/>
  <c r="EA3" i="34"/>
  <c r="DZ3" i="34"/>
  <c r="DY3" i="34"/>
  <c r="DX3" i="34"/>
  <c r="DW3" i="34"/>
  <c r="DV3" i="34"/>
  <c r="DU3" i="34"/>
  <c r="DT3" i="34"/>
  <c r="EC2" i="34"/>
  <c r="EB2" i="34"/>
  <c r="EA2" i="34"/>
  <c r="DZ2" i="34"/>
  <c r="DY2" i="34"/>
  <c r="DX2" i="34"/>
  <c r="DW2" i="34"/>
  <c r="DV2" i="34"/>
  <c r="DU2" i="34"/>
  <c r="DT2" i="34"/>
  <c r="EC1" i="34"/>
  <c r="EB1" i="34"/>
  <c r="EA1" i="34"/>
  <c r="DZ1" i="34"/>
  <c r="DY1" i="34"/>
  <c r="DX1" i="34"/>
  <c r="DW1" i="34"/>
  <c r="DV1" i="34"/>
  <c r="DU1" i="34"/>
  <c r="DT1" i="34"/>
  <c r="DS31" i="34"/>
  <c r="DR31" i="34"/>
  <c r="DQ31" i="34"/>
  <c r="DP31" i="34"/>
  <c r="DO31" i="34"/>
  <c r="DN31" i="34"/>
  <c r="DM31" i="34"/>
  <c r="DL31" i="34"/>
  <c r="DK31" i="34"/>
  <c r="DJ31" i="34"/>
  <c r="DS30" i="34"/>
  <c r="DR30" i="34"/>
  <c r="DQ30" i="34"/>
  <c r="DP30" i="34"/>
  <c r="DO30" i="34"/>
  <c r="DN30" i="34"/>
  <c r="DM30" i="34"/>
  <c r="DL30" i="34"/>
  <c r="DK30" i="34"/>
  <c r="DJ30" i="34"/>
  <c r="DS29" i="34"/>
  <c r="DR29" i="34"/>
  <c r="DQ29" i="34"/>
  <c r="DP29" i="34"/>
  <c r="DO29" i="34"/>
  <c r="DN29" i="34"/>
  <c r="DM29" i="34"/>
  <c r="DL29" i="34"/>
  <c r="DK29" i="34"/>
  <c r="DJ29" i="34"/>
  <c r="DS28" i="34"/>
  <c r="DR28" i="34"/>
  <c r="DQ28" i="34"/>
  <c r="DP28" i="34"/>
  <c r="DO28" i="34"/>
  <c r="DN28" i="34"/>
  <c r="DM28" i="34"/>
  <c r="DL28" i="34"/>
  <c r="DK28" i="34"/>
  <c r="DJ28" i="34"/>
  <c r="DS27" i="34"/>
  <c r="DR27" i="34"/>
  <c r="DQ27" i="34"/>
  <c r="DP27" i="34"/>
  <c r="DO27" i="34"/>
  <c r="DN27" i="34"/>
  <c r="DM27" i="34"/>
  <c r="DL27" i="34"/>
  <c r="DK27" i="34"/>
  <c r="DJ27" i="34"/>
  <c r="DS26" i="34"/>
  <c r="DR26" i="34"/>
  <c r="DQ26" i="34"/>
  <c r="DP26" i="34"/>
  <c r="DO26" i="34"/>
  <c r="DN26" i="34"/>
  <c r="DM26" i="34"/>
  <c r="DL26" i="34"/>
  <c r="DK26" i="34"/>
  <c r="DJ26" i="34"/>
  <c r="DS25" i="34"/>
  <c r="DR25" i="34"/>
  <c r="DQ25" i="34"/>
  <c r="DP25" i="34"/>
  <c r="DO25" i="34"/>
  <c r="DN25" i="34"/>
  <c r="DM25" i="34"/>
  <c r="DL25" i="34"/>
  <c r="DK25" i="34"/>
  <c r="DJ25" i="34"/>
  <c r="DS24" i="34"/>
  <c r="DR24" i="34"/>
  <c r="DQ24" i="34"/>
  <c r="DP24" i="34"/>
  <c r="DO24" i="34"/>
  <c r="DN24" i="34"/>
  <c r="DM24" i="34"/>
  <c r="DL24" i="34"/>
  <c r="DK24" i="34"/>
  <c r="DJ24" i="34"/>
  <c r="DS23" i="34"/>
  <c r="DR23" i="34"/>
  <c r="DQ23" i="34"/>
  <c r="DP23" i="34"/>
  <c r="DO23" i="34"/>
  <c r="DN23" i="34"/>
  <c r="DM23" i="34"/>
  <c r="DL23" i="34"/>
  <c r="DK23" i="34"/>
  <c r="DJ23" i="34"/>
  <c r="DS22" i="34"/>
  <c r="DR22" i="34"/>
  <c r="DQ22" i="34"/>
  <c r="DP22" i="34"/>
  <c r="DO22" i="34"/>
  <c r="DN22" i="34"/>
  <c r="DM22" i="34"/>
  <c r="DL22" i="34"/>
  <c r="DK22" i="34"/>
  <c r="DJ22" i="34"/>
  <c r="DS21" i="34"/>
  <c r="DR21" i="34"/>
  <c r="DQ21" i="34"/>
  <c r="DP21" i="34"/>
  <c r="DO21" i="34"/>
  <c r="DN21" i="34"/>
  <c r="DM21" i="34"/>
  <c r="DL21" i="34"/>
  <c r="DK21" i="34"/>
  <c r="DJ21" i="34"/>
  <c r="DS20" i="34"/>
  <c r="DR20" i="34"/>
  <c r="DQ20" i="34"/>
  <c r="DP20" i="34"/>
  <c r="DO20" i="34"/>
  <c r="DN20" i="34"/>
  <c r="DM20" i="34"/>
  <c r="DL20" i="34"/>
  <c r="DK20" i="34"/>
  <c r="DJ20" i="34"/>
  <c r="DS19" i="34"/>
  <c r="DR19" i="34"/>
  <c r="DQ19" i="34"/>
  <c r="DP19" i="34"/>
  <c r="DO19" i="34"/>
  <c r="DN19" i="34"/>
  <c r="DM19" i="34"/>
  <c r="DL19" i="34"/>
  <c r="DK19" i="34"/>
  <c r="DJ19" i="34"/>
  <c r="DS18" i="34"/>
  <c r="DR18" i="34"/>
  <c r="DQ18" i="34"/>
  <c r="DP18" i="34"/>
  <c r="DO18" i="34"/>
  <c r="DN18" i="34"/>
  <c r="DM18" i="34"/>
  <c r="DL18" i="34"/>
  <c r="DK18" i="34"/>
  <c r="DJ18" i="34"/>
  <c r="DS17" i="34"/>
  <c r="DR17" i="34"/>
  <c r="DQ17" i="34"/>
  <c r="DP17" i="34"/>
  <c r="DO17" i="34"/>
  <c r="DN17" i="34"/>
  <c r="DM17" i="34"/>
  <c r="DL17" i="34"/>
  <c r="DK17" i="34"/>
  <c r="DJ17" i="34"/>
  <c r="DS16" i="34"/>
  <c r="DR16" i="34"/>
  <c r="DQ16" i="34"/>
  <c r="DP16" i="34"/>
  <c r="DO16" i="34"/>
  <c r="DN16" i="34"/>
  <c r="DM16" i="34"/>
  <c r="DL16" i="34"/>
  <c r="DK16" i="34"/>
  <c r="DJ16" i="34"/>
  <c r="DS15" i="34"/>
  <c r="DR15" i="34"/>
  <c r="DQ15" i="34"/>
  <c r="DP15" i="34"/>
  <c r="DO15" i="34"/>
  <c r="DN15" i="34"/>
  <c r="DM15" i="34"/>
  <c r="DL15" i="34"/>
  <c r="DK15" i="34"/>
  <c r="DJ15" i="34"/>
  <c r="DS14" i="34"/>
  <c r="DR14" i="34"/>
  <c r="DQ14" i="34"/>
  <c r="DP14" i="34"/>
  <c r="DO14" i="34"/>
  <c r="DN14" i="34"/>
  <c r="DM14" i="34"/>
  <c r="DL14" i="34"/>
  <c r="DK14" i="34"/>
  <c r="DJ14" i="34"/>
  <c r="DS13" i="34"/>
  <c r="DR13" i="34"/>
  <c r="DQ13" i="34"/>
  <c r="DP13" i="34"/>
  <c r="DO13" i="34"/>
  <c r="DN13" i="34"/>
  <c r="DM13" i="34"/>
  <c r="DL13" i="34"/>
  <c r="DK13" i="34"/>
  <c r="DJ13" i="34"/>
  <c r="DS12" i="34"/>
  <c r="DR12" i="34"/>
  <c r="DQ12" i="34"/>
  <c r="DP12" i="34"/>
  <c r="DO12" i="34"/>
  <c r="DN12" i="34"/>
  <c r="DM12" i="34"/>
  <c r="DL12" i="34"/>
  <c r="DK12" i="34"/>
  <c r="DJ12" i="34"/>
  <c r="DS11" i="34"/>
  <c r="DR11" i="34"/>
  <c r="DQ11" i="34"/>
  <c r="DP11" i="34"/>
  <c r="DO11" i="34"/>
  <c r="DN11" i="34"/>
  <c r="DM11" i="34"/>
  <c r="DL11" i="34"/>
  <c r="DK11" i="34"/>
  <c r="DJ11" i="34"/>
  <c r="DS10" i="34"/>
  <c r="DR10" i="34"/>
  <c r="DQ10" i="34"/>
  <c r="DP10" i="34"/>
  <c r="DO10" i="34"/>
  <c r="DN10" i="34"/>
  <c r="DM10" i="34"/>
  <c r="DL10" i="34"/>
  <c r="DK10" i="34"/>
  <c r="DJ10" i="34"/>
  <c r="DS9" i="34"/>
  <c r="DR9" i="34"/>
  <c r="DQ9" i="34"/>
  <c r="DP9" i="34"/>
  <c r="DO9" i="34"/>
  <c r="DN9" i="34"/>
  <c r="DM9" i="34"/>
  <c r="DL9" i="34"/>
  <c r="DK9" i="34"/>
  <c r="DJ9" i="34"/>
  <c r="DS8" i="34"/>
  <c r="DR8" i="34"/>
  <c r="DQ8" i="34"/>
  <c r="DP8" i="34"/>
  <c r="DO8" i="34"/>
  <c r="DN8" i="34"/>
  <c r="DM8" i="34"/>
  <c r="DL8" i="34"/>
  <c r="DK8" i="34"/>
  <c r="DJ8" i="34"/>
  <c r="DS7" i="34"/>
  <c r="DR7" i="34"/>
  <c r="DQ7" i="34"/>
  <c r="DP7" i="34"/>
  <c r="DO7" i="34"/>
  <c r="DN7" i="34"/>
  <c r="DM7" i="34"/>
  <c r="DL7" i="34"/>
  <c r="DK7" i="34"/>
  <c r="DJ7" i="34"/>
  <c r="DS6" i="34"/>
  <c r="DR6" i="34"/>
  <c r="DQ6" i="34"/>
  <c r="DP6" i="34"/>
  <c r="DO6" i="34"/>
  <c r="DN6" i="34"/>
  <c r="DM6" i="34"/>
  <c r="DL6" i="34"/>
  <c r="DK6" i="34"/>
  <c r="DJ6" i="34"/>
  <c r="DS5" i="34"/>
  <c r="DR5" i="34"/>
  <c r="DQ5" i="34"/>
  <c r="DP5" i="34"/>
  <c r="DO5" i="34"/>
  <c r="DN5" i="34"/>
  <c r="DM5" i="34"/>
  <c r="DL5" i="34"/>
  <c r="DK5" i="34"/>
  <c r="DJ5" i="34"/>
  <c r="DS4" i="34"/>
  <c r="DR4" i="34"/>
  <c r="DQ4" i="34"/>
  <c r="DP4" i="34"/>
  <c r="DO4" i="34"/>
  <c r="DN4" i="34"/>
  <c r="DM4" i="34"/>
  <c r="DL4" i="34"/>
  <c r="DK4" i="34"/>
  <c r="DJ4" i="34"/>
  <c r="DS3" i="34"/>
  <c r="DR3" i="34"/>
  <c r="DQ3" i="34"/>
  <c r="DP3" i="34"/>
  <c r="DO3" i="34"/>
  <c r="DN3" i="34"/>
  <c r="DM3" i="34"/>
  <c r="DL3" i="34"/>
  <c r="DK3" i="34"/>
  <c r="DJ3" i="34"/>
  <c r="DS2" i="34"/>
  <c r="DR2" i="34"/>
  <c r="DQ2" i="34"/>
  <c r="DP2" i="34"/>
  <c r="DO2" i="34"/>
  <c r="DN2" i="34"/>
  <c r="DM2" i="34"/>
  <c r="DL2" i="34"/>
  <c r="DK2" i="34"/>
  <c r="DJ2" i="34"/>
  <c r="DS1" i="34"/>
  <c r="DR1" i="34"/>
  <c r="DQ1" i="34"/>
  <c r="DP1" i="34"/>
  <c r="DO1" i="34"/>
  <c r="DN1" i="34"/>
  <c r="DM1" i="34"/>
  <c r="DL1" i="34"/>
  <c r="DK1" i="34"/>
  <c r="DJ1" i="34"/>
  <c r="DI31" i="34"/>
  <c r="DH31" i="34"/>
  <c r="DG31" i="34"/>
  <c r="DF31" i="34"/>
  <c r="DE31" i="34"/>
  <c r="DD31" i="34"/>
  <c r="DC31" i="34"/>
  <c r="DB31" i="34"/>
  <c r="DA31" i="34"/>
  <c r="CZ31" i="34"/>
  <c r="DI30" i="34"/>
  <c r="DH30" i="34"/>
  <c r="DG30" i="34"/>
  <c r="DF30" i="34"/>
  <c r="DE30" i="34"/>
  <c r="DD30" i="34"/>
  <c r="DC30" i="34"/>
  <c r="DB30" i="34"/>
  <c r="DA30" i="34"/>
  <c r="CZ30" i="34"/>
  <c r="DI29" i="34"/>
  <c r="DH29" i="34"/>
  <c r="DG29" i="34"/>
  <c r="DF29" i="34"/>
  <c r="DE29" i="34"/>
  <c r="DD29" i="34"/>
  <c r="DC29" i="34"/>
  <c r="DB29" i="34"/>
  <c r="DA29" i="34"/>
  <c r="CZ29" i="34"/>
  <c r="DI28" i="34"/>
  <c r="DH28" i="34"/>
  <c r="DG28" i="34"/>
  <c r="DF28" i="34"/>
  <c r="DE28" i="34"/>
  <c r="DD28" i="34"/>
  <c r="DC28" i="34"/>
  <c r="DB28" i="34"/>
  <c r="DA28" i="34"/>
  <c r="CZ28" i="34"/>
  <c r="DI27" i="34"/>
  <c r="DH27" i="34"/>
  <c r="DG27" i="34"/>
  <c r="DF27" i="34"/>
  <c r="DE27" i="34"/>
  <c r="DD27" i="34"/>
  <c r="DC27" i="34"/>
  <c r="DB27" i="34"/>
  <c r="DA27" i="34"/>
  <c r="CZ27" i="34"/>
  <c r="DI26" i="34"/>
  <c r="DH26" i="34"/>
  <c r="DG26" i="34"/>
  <c r="DF26" i="34"/>
  <c r="DE26" i="34"/>
  <c r="DD26" i="34"/>
  <c r="DC26" i="34"/>
  <c r="DB26" i="34"/>
  <c r="DA26" i="34"/>
  <c r="CZ26" i="34"/>
  <c r="DI25" i="34"/>
  <c r="DH25" i="34"/>
  <c r="DG25" i="34"/>
  <c r="DF25" i="34"/>
  <c r="DE25" i="34"/>
  <c r="DD25" i="34"/>
  <c r="DC25" i="34"/>
  <c r="DB25" i="34"/>
  <c r="DA25" i="34"/>
  <c r="CZ25" i="34"/>
  <c r="DI24" i="34"/>
  <c r="DH24" i="34"/>
  <c r="DG24" i="34"/>
  <c r="DF24" i="34"/>
  <c r="DE24" i="34"/>
  <c r="DD24" i="34"/>
  <c r="DC24" i="34"/>
  <c r="DB24" i="34"/>
  <c r="DA24" i="34"/>
  <c r="CZ24" i="34"/>
  <c r="DI23" i="34"/>
  <c r="DH23" i="34"/>
  <c r="DG23" i="34"/>
  <c r="DF23" i="34"/>
  <c r="DE23" i="34"/>
  <c r="DD23" i="34"/>
  <c r="DC23" i="34"/>
  <c r="DB23" i="34"/>
  <c r="DA23" i="34"/>
  <c r="CZ23" i="34"/>
  <c r="DI22" i="34"/>
  <c r="DH22" i="34"/>
  <c r="DG22" i="34"/>
  <c r="DF22" i="34"/>
  <c r="DE22" i="34"/>
  <c r="DD22" i="34"/>
  <c r="DC22" i="34"/>
  <c r="DB22" i="34"/>
  <c r="DA22" i="34"/>
  <c r="CZ22" i="34"/>
  <c r="DI21" i="34"/>
  <c r="DH21" i="34"/>
  <c r="DG21" i="34"/>
  <c r="DF21" i="34"/>
  <c r="DE21" i="34"/>
  <c r="DD21" i="34"/>
  <c r="DC21" i="34"/>
  <c r="DB21" i="34"/>
  <c r="DA21" i="34"/>
  <c r="CZ21" i="34"/>
  <c r="DI20" i="34"/>
  <c r="DH20" i="34"/>
  <c r="DG20" i="34"/>
  <c r="DF20" i="34"/>
  <c r="DE20" i="34"/>
  <c r="DD20" i="34"/>
  <c r="DC20" i="34"/>
  <c r="DB20" i="34"/>
  <c r="DA20" i="34"/>
  <c r="CZ20" i="34"/>
  <c r="DI19" i="34"/>
  <c r="DH19" i="34"/>
  <c r="DG19" i="34"/>
  <c r="DF19" i="34"/>
  <c r="DE19" i="34"/>
  <c r="DD19" i="34"/>
  <c r="DC19" i="34"/>
  <c r="DB19" i="34"/>
  <c r="DA19" i="34"/>
  <c r="CZ19" i="34"/>
  <c r="DI18" i="34"/>
  <c r="DH18" i="34"/>
  <c r="DG18" i="34"/>
  <c r="DF18" i="34"/>
  <c r="DE18" i="34"/>
  <c r="DD18" i="34"/>
  <c r="DC18" i="34"/>
  <c r="DB18" i="34"/>
  <c r="DA18" i="34"/>
  <c r="CZ18" i="34"/>
  <c r="DI17" i="34"/>
  <c r="DH17" i="34"/>
  <c r="DG17" i="34"/>
  <c r="DF17" i="34"/>
  <c r="DE17" i="34"/>
  <c r="DD17" i="34"/>
  <c r="DC17" i="34"/>
  <c r="DB17" i="34"/>
  <c r="DA17" i="34"/>
  <c r="CZ17" i="34"/>
  <c r="DI16" i="34"/>
  <c r="DH16" i="34"/>
  <c r="DG16" i="34"/>
  <c r="DF16" i="34"/>
  <c r="DE16" i="34"/>
  <c r="DD16" i="34"/>
  <c r="DC16" i="34"/>
  <c r="DB16" i="34"/>
  <c r="DA16" i="34"/>
  <c r="CZ16" i="34"/>
  <c r="DI15" i="34"/>
  <c r="DH15" i="34"/>
  <c r="DG15" i="34"/>
  <c r="DF15" i="34"/>
  <c r="DE15" i="34"/>
  <c r="DD15" i="34"/>
  <c r="DC15" i="34"/>
  <c r="DB15" i="34"/>
  <c r="DA15" i="34"/>
  <c r="CZ15" i="34"/>
  <c r="DI14" i="34"/>
  <c r="DH14" i="34"/>
  <c r="DG14" i="34"/>
  <c r="DF14" i="34"/>
  <c r="DE14" i="34"/>
  <c r="DD14" i="34"/>
  <c r="DC14" i="34"/>
  <c r="DB14" i="34"/>
  <c r="DA14" i="34"/>
  <c r="CZ14" i="34"/>
  <c r="DI13" i="34"/>
  <c r="DH13" i="34"/>
  <c r="DG13" i="34"/>
  <c r="DF13" i="34"/>
  <c r="DE13" i="34"/>
  <c r="DD13" i="34"/>
  <c r="DC13" i="34"/>
  <c r="DB13" i="34"/>
  <c r="DA13" i="34"/>
  <c r="CZ13" i="34"/>
  <c r="DI12" i="34"/>
  <c r="DH12" i="34"/>
  <c r="DG12" i="34"/>
  <c r="DF12" i="34"/>
  <c r="DE12" i="34"/>
  <c r="DD12" i="34"/>
  <c r="DC12" i="34"/>
  <c r="DB12" i="34"/>
  <c r="DA12" i="34"/>
  <c r="CZ12" i="34"/>
  <c r="DI11" i="34"/>
  <c r="DH11" i="34"/>
  <c r="DG11" i="34"/>
  <c r="DF11" i="34"/>
  <c r="DE11" i="34"/>
  <c r="DD11" i="34"/>
  <c r="DC11" i="34"/>
  <c r="DB11" i="34"/>
  <c r="DA11" i="34"/>
  <c r="CZ11" i="34"/>
  <c r="DI10" i="34"/>
  <c r="DH10" i="34"/>
  <c r="DG10" i="34"/>
  <c r="DF10" i="34"/>
  <c r="DE10" i="34"/>
  <c r="DD10" i="34"/>
  <c r="DC10" i="34"/>
  <c r="DB10" i="34"/>
  <c r="DA10" i="34"/>
  <c r="CZ10" i="34"/>
  <c r="DI9" i="34"/>
  <c r="DH9" i="34"/>
  <c r="DG9" i="34"/>
  <c r="DF9" i="34"/>
  <c r="DE9" i="34"/>
  <c r="DD9" i="34"/>
  <c r="DC9" i="34"/>
  <c r="DB9" i="34"/>
  <c r="DA9" i="34"/>
  <c r="CZ9" i="34"/>
  <c r="DI8" i="34"/>
  <c r="DH8" i="34"/>
  <c r="DG8" i="34"/>
  <c r="DF8" i="34"/>
  <c r="DE8" i="34"/>
  <c r="DD8" i="34"/>
  <c r="DC8" i="34"/>
  <c r="DB8" i="34"/>
  <c r="DA8" i="34"/>
  <c r="CZ8" i="34"/>
  <c r="DI7" i="34"/>
  <c r="DH7" i="34"/>
  <c r="DG7" i="34"/>
  <c r="DF7" i="34"/>
  <c r="DE7" i="34"/>
  <c r="DD7" i="34"/>
  <c r="DC7" i="34"/>
  <c r="DB7" i="34"/>
  <c r="DA7" i="34"/>
  <c r="CZ7" i="34"/>
  <c r="DI6" i="34"/>
  <c r="DH6" i="34"/>
  <c r="DG6" i="34"/>
  <c r="DF6" i="34"/>
  <c r="DE6" i="34"/>
  <c r="DD6" i="34"/>
  <c r="DC6" i="34"/>
  <c r="DB6" i="34"/>
  <c r="DA6" i="34"/>
  <c r="CZ6" i="34"/>
  <c r="DI5" i="34"/>
  <c r="DH5" i="34"/>
  <c r="DG5" i="34"/>
  <c r="DF5" i="34"/>
  <c r="DE5" i="34"/>
  <c r="DD5" i="34"/>
  <c r="DC5" i="34"/>
  <c r="DB5" i="34"/>
  <c r="DA5" i="34"/>
  <c r="CZ5" i="34"/>
  <c r="DI4" i="34"/>
  <c r="DH4" i="34"/>
  <c r="DG4" i="34"/>
  <c r="DF4" i="34"/>
  <c r="DE4" i="34"/>
  <c r="DD4" i="34"/>
  <c r="DC4" i="34"/>
  <c r="DB4" i="34"/>
  <c r="DA4" i="34"/>
  <c r="CZ4" i="34"/>
  <c r="DI3" i="34"/>
  <c r="DH3" i="34"/>
  <c r="DG3" i="34"/>
  <c r="DF3" i="34"/>
  <c r="DE3" i="34"/>
  <c r="DD3" i="34"/>
  <c r="DC3" i="34"/>
  <c r="DB3" i="34"/>
  <c r="DA3" i="34"/>
  <c r="CZ3" i="34"/>
  <c r="DI2" i="34"/>
  <c r="DG2" i="34"/>
  <c r="DF2" i="34"/>
  <c r="DE2" i="34"/>
  <c r="DD2" i="34"/>
  <c r="DC2" i="34"/>
  <c r="DB2" i="34"/>
  <c r="DA2" i="34"/>
  <c r="CZ2" i="34"/>
  <c r="DI1" i="34"/>
  <c r="DH1" i="34"/>
  <c r="DG1" i="34"/>
  <c r="DF1" i="34"/>
  <c r="DE1" i="34"/>
  <c r="DD1" i="34"/>
  <c r="DC1" i="34"/>
  <c r="DB1" i="34"/>
  <c r="DA1" i="34"/>
  <c r="CZ1" i="34"/>
  <c r="CY31" i="34"/>
  <c r="CX31" i="34"/>
  <c r="CW31" i="34"/>
  <c r="CV31" i="34"/>
  <c r="CU31" i="34"/>
  <c r="CT31" i="34"/>
  <c r="CS31" i="34"/>
  <c r="CR31" i="34"/>
  <c r="CQ31" i="34"/>
  <c r="CP31" i="34"/>
  <c r="CY30" i="34"/>
  <c r="CX30" i="34"/>
  <c r="CW30" i="34"/>
  <c r="CV30" i="34"/>
  <c r="CU30" i="34"/>
  <c r="CT30" i="34"/>
  <c r="CS30" i="34"/>
  <c r="CR30" i="34"/>
  <c r="CQ30" i="34"/>
  <c r="CP30" i="34"/>
  <c r="CY29" i="34"/>
  <c r="CX29" i="34"/>
  <c r="CW29" i="34"/>
  <c r="CV29" i="34"/>
  <c r="CU29" i="34"/>
  <c r="CT29" i="34"/>
  <c r="CS29" i="34"/>
  <c r="CR29" i="34"/>
  <c r="CQ29" i="34"/>
  <c r="CP29" i="34"/>
  <c r="CY28" i="34"/>
  <c r="CX28" i="34"/>
  <c r="CW28" i="34"/>
  <c r="CV28" i="34"/>
  <c r="CU28" i="34"/>
  <c r="CT28" i="34"/>
  <c r="CS28" i="34"/>
  <c r="CR28" i="34"/>
  <c r="CQ28" i="34"/>
  <c r="CP28" i="34"/>
  <c r="CY27" i="34"/>
  <c r="CX27" i="34"/>
  <c r="CW27" i="34"/>
  <c r="CV27" i="34"/>
  <c r="CU27" i="34"/>
  <c r="CT27" i="34"/>
  <c r="CS27" i="34"/>
  <c r="CR27" i="34"/>
  <c r="CQ27" i="34"/>
  <c r="CP27" i="34"/>
  <c r="CY26" i="34"/>
  <c r="CX26" i="34"/>
  <c r="CW26" i="34"/>
  <c r="CV26" i="34"/>
  <c r="CU26" i="34"/>
  <c r="CT26" i="34"/>
  <c r="CS26" i="34"/>
  <c r="CR26" i="34"/>
  <c r="CQ26" i="34"/>
  <c r="CP26" i="34"/>
  <c r="CY25" i="34"/>
  <c r="CX25" i="34"/>
  <c r="CW25" i="34"/>
  <c r="CV25" i="34"/>
  <c r="CU25" i="34"/>
  <c r="CT25" i="34"/>
  <c r="CS25" i="34"/>
  <c r="CR25" i="34"/>
  <c r="CQ25" i="34"/>
  <c r="CP25" i="34"/>
  <c r="CY24" i="34"/>
  <c r="CX24" i="34"/>
  <c r="CW24" i="34"/>
  <c r="CV24" i="34"/>
  <c r="CU24" i="34"/>
  <c r="CT24" i="34"/>
  <c r="CS24" i="34"/>
  <c r="CR24" i="34"/>
  <c r="CQ24" i="34"/>
  <c r="CP24" i="34"/>
  <c r="CY23" i="34"/>
  <c r="CX23" i="34"/>
  <c r="CW23" i="34"/>
  <c r="CV23" i="34"/>
  <c r="CU23" i="34"/>
  <c r="CT23" i="34"/>
  <c r="CS23" i="34"/>
  <c r="CR23" i="34"/>
  <c r="CQ23" i="34"/>
  <c r="CP23" i="34"/>
  <c r="CY22" i="34"/>
  <c r="CX22" i="34"/>
  <c r="CW22" i="34"/>
  <c r="CV22" i="34"/>
  <c r="CU22" i="34"/>
  <c r="CT22" i="34"/>
  <c r="CS22" i="34"/>
  <c r="CR22" i="34"/>
  <c r="CQ22" i="34"/>
  <c r="CP22" i="34"/>
  <c r="CY21" i="34"/>
  <c r="CX21" i="34"/>
  <c r="CW21" i="34"/>
  <c r="CV21" i="34"/>
  <c r="CU21" i="34"/>
  <c r="CT21" i="34"/>
  <c r="CS21" i="34"/>
  <c r="CR21" i="34"/>
  <c r="CQ21" i="34"/>
  <c r="CP21" i="34"/>
  <c r="CY20" i="34"/>
  <c r="CX20" i="34"/>
  <c r="CW20" i="34"/>
  <c r="CV20" i="34"/>
  <c r="CU20" i="34"/>
  <c r="CT20" i="34"/>
  <c r="CS20" i="34"/>
  <c r="CR20" i="34"/>
  <c r="CQ20" i="34"/>
  <c r="CP20" i="34"/>
  <c r="CY19" i="34"/>
  <c r="CX19" i="34"/>
  <c r="CW19" i="34"/>
  <c r="CV19" i="34"/>
  <c r="CU19" i="34"/>
  <c r="CT19" i="34"/>
  <c r="CS19" i="34"/>
  <c r="CR19" i="34"/>
  <c r="CQ19" i="34"/>
  <c r="CP19" i="34"/>
  <c r="CY18" i="34"/>
  <c r="CX18" i="34"/>
  <c r="CW18" i="34"/>
  <c r="CV18" i="34"/>
  <c r="CU18" i="34"/>
  <c r="CT18" i="34"/>
  <c r="CS18" i="34"/>
  <c r="CR18" i="34"/>
  <c r="CQ18" i="34"/>
  <c r="CP18" i="34"/>
  <c r="CY17" i="34"/>
  <c r="CX17" i="34"/>
  <c r="CW17" i="34"/>
  <c r="CV17" i="34"/>
  <c r="CU17" i="34"/>
  <c r="CT17" i="34"/>
  <c r="CS17" i="34"/>
  <c r="CR17" i="34"/>
  <c r="CQ17" i="34"/>
  <c r="CP17" i="34"/>
  <c r="CY16" i="34"/>
  <c r="CX16" i="34"/>
  <c r="CW16" i="34"/>
  <c r="CV16" i="34"/>
  <c r="CU16" i="34"/>
  <c r="CT16" i="34"/>
  <c r="CS16" i="34"/>
  <c r="CR16" i="34"/>
  <c r="CQ16" i="34"/>
  <c r="CP16" i="34"/>
  <c r="CY15" i="34"/>
  <c r="CX15" i="34"/>
  <c r="CW15" i="34"/>
  <c r="CV15" i="34"/>
  <c r="CU15" i="34"/>
  <c r="CT15" i="34"/>
  <c r="CS15" i="34"/>
  <c r="CR15" i="34"/>
  <c r="CQ15" i="34"/>
  <c r="CP15" i="34"/>
  <c r="CY14" i="34"/>
  <c r="CX14" i="34"/>
  <c r="CW14" i="34"/>
  <c r="CV14" i="34"/>
  <c r="CU14" i="34"/>
  <c r="CT14" i="34"/>
  <c r="CS14" i="34"/>
  <c r="CR14" i="34"/>
  <c r="CQ14" i="34"/>
  <c r="CP14" i="34"/>
  <c r="CY13" i="34"/>
  <c r="CX13" i="34"/>
  <c r="CW13" i="34"/>
  <c r="CV13" i="34"/>
  <c r="CU13" i="34"/>
  <c r="CT13" i="34"/>
  <c r="CS13" i="34"/>
  <c r="CR13" i="34"/>
  <c r="CQ13" i="34"/>
  <c r="CP13" i="34"/>
  <c r="CY12" i="34"/>
  <c r="CX12" i="34"/>
  <c r="CW12" i="34"/>
  <c r="CV12" i="34"/>
  <c r="CU12" i="34"/>
  <c r="CT12" i="34"/>
  <c r="CS12" i="34"/>
  <c r="CR12" i="34"/>
  <c r="CQ12" i="34"/>
  <c r="CP12" i="34"/>
  <c r="CY11" i="34"/>
  <c r="CX11" i="34"/>
  <c r="CW11" i="34"/>
  <c r="CV11" i="34"/>
  <c r="CU11" i="34"/>
  <c r="CT11" i="34"/>
  <c r="CS11" i="34"/>
  <c r="CR11" i="34"/>
  <c r="CQ11" i="34"/>
  <c r="CP11" i="34"/>
  <c r="CY10" i="34"/>
  <c r="CX10" i="34"/>
  <c r="CW10" i="34"/>
  <c r="CV10" i="34"/>
  <c r="CU10" i="34"/>
  <c r="CT10" i="34"/>
  <c r="CS10" i="34"/>
  <c r="CR10" i="34"/>
  <c r="CQ10" i="34"/>
  <c r="CP10" i="34"/>
  <c r="CY9" i="34"/>
  <c r="CX9" i="34"/>
  <c r="CW9" i="34"/>
  <c r="CV9" i="34"/>
  <c r="CU9" i="34"/>
  <c r="CT9" i="34"/>
  <c r="CS9" i="34"/>
  <c r="CR9" i="34"/>
  <c r="CQ9" i="34"/>
  <c r="CP9" i="34"/>
  <c r="CY8" i="34"/>
  <c r="CX8" i="34"/>
  <c r="CW8" i="34"/>
  <c r="CV8" i="34"/>
  <c r="CU8" i="34"/>
  <c r="CT8" i="34"/>
  <c r="CS8" i="34"/>
  <c r="CR8" i="34"/>
  <c r="CQ8" i="34"/>
  <c r="CP8" i="34"/>
  <c r="CY7" i="34"/>
  <c r="CX7" i="34"/>
  <c r="CW7" i="34"/>
  <c r="CV7" i="34"/>
  <c r="CU7" i="34"/>
  <c r="CT7" i="34"/>
  <c r="CS7" i="34"/>
  <c r="CR7" i="34"/>
  <c r="CQ7" i="34"/>
  <c r="CP7" i="34"/>
  <c r="CY6" i="34"/>
  <c r="CX6" i="34"/>
  <c r="CW6" i="34"/>
  <c r="CV6" i="34"/>
  <c r="CU6" i="34"/>
  <c r="CT6" i="34"/>
  <c r="CS6" i="34"/>
  <c r="CR6" i="34"/>
  <c r="CQ6" i="34"/>
  <c r="CP6" i="34"/>
  <c r="CY5" i="34"/>
  <c r="CX5" i="34"/>
  <c r="CW5" i="34"/>
  <c r="CV5" i="34"/>
  <c r="CU5" i="34"/>
  <c r="CT5" i="34"/>
  <c r="CS5" i="34"/>
  <c r="CR5" i="34"/>
  <c r="CQ5" i="34"/>
  <c r="CP5" i="34"/>
  <c r="CY4" i="34"/>
  <c r="CX4" i="34"/>
  <c r="CW4" i="34"/>
  <c r="CV4" i="34"/>
  <c r="CU4" i="34"/>
  <c r="CT4" i="34"/>
  <c r="CS4" i="34"/>
  <c r="CR4" i="34"/>
  <c r="CQ4" i="34"/>
  <c r="CP4" i="34"/>
  <c r="CY3" i="34"/>
  <c r="CX3" i="34"/>
  <c r="CW3" i="34"/>
  <c r="CV3" i="34"/>
  <c r="CU3" i="34"/>
  <c r="CT3" i="34"/>
  <c r="CS3" i="34"/>
  <c r="CR3" i="34"/>
  <c r="CQ3" i="34"/>
  <c r="CP3" i="34"/>
  <c r="CY2" i="34"/>
  <c r="CX2" i="34"/>
  <c r="CW2" i="34"/>
  <c r="CV2" i="34"/>
  <c r="CU2" i="34"/>
  <c r="CT2" i="34"/>
  <c r="CS2" i="34"/>
  <c r="CR2" i="34"/>
  <c r="CY1" i="34"/>
  <c r="CX1" i="34"/>
  <c r="CW1" i="34"/>
  <c r="CV1" i="34"/>
  <c r="CU1" i="34"/>
  <c r="CT1" i="34"/>
  <c r="CS1" i="34"/>
  <c r="CR1" i="34"/>
  <c r="CQ1" i="34"/>
  <c r="CP1" i="34"/>
  <c r="A90"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B105" i="29"/>
  <c r="C105" i="29"/>
  <c r="D105" i="29"/>
  <c r="E105" i="29"/>
  <c r="F105" i="29"/>
  <c r="G105" i="29"/>
  <c r="H105" i="29"/>
  <c r="I105" i="29"/>
  <c r="J105" i="29"/>
  <c r="K105" i="29"/>
  <c r="L105" i="29"/>
  <c r="M105" i="29"/>
  <c r="N105" i="29"/>
  <c r="O105" i="29"/>
  <c r="P105" i="29"/>
  <c r="Q105" i="29"/>
  <c r="R105" i="29"/>
  <c r="S105" i="29"/>
  <c r="T105" i="29"/>
  <c r="U105" i="29"/>
  <c r="V105" i="29"/>
  <c r="W105" i="29"/>
  <c r="X105" i="29"/>
  <c r="Y105" i="29"/>
  <c r="Z105" i="29"/>
  <c r="AA105" i="29"/>
  <c r="AB105" i="29"/>
  <c r="AC105" i="29"/>
  <c r="AD105" i="29"/>
  <c r="AE105" i="29"/>
  <c r="B106" i="29"/>
  <c r="C106" i="29"/>
  <c r="D106" i="29"/>
  <c r="E106" i="29"/>
  <c r="F106" i="29"/>
  <c r="G106" i="29"/>
  <c r="H106" i="29"/>
  <c r="I106" i="29"/>
  <c r="J106" i="29"/>
  <c r="K106" i="29"/>
  <c r="L106" i="29"/>
  <c r="M106" i="29"/>
  <c r="N106" i="29"/>
  <c r="O106" i="29"/>
  <c r="P106" i="29"/>
  <c r="Q106" i="29"/>
  <c r="R106" i="29"/>
  <c r="S106" i="29"/>
  <c r="T106" i="29"/>
  <c r="U106" i="29"/>
  <c r="V106" i="29"/>
  <c r="W106" i="29"/>
  <c r="X106" i="29"/>
  <c r="Y106" i="29"/>
  <c r="Z106" i="29"/>
  <c r="AA106" i="29"/>
  <c r="AB106" i="29"/>
  <c r="AC106" i="29"/>
  <c r="AD106" i="29"/>
  <c r="AE106" i="29"/>
  <c r="B107" i="29"/>
  <c r="C107" i="29"/>
  <c r="D107" i="29"/>
  <c r="E107" i="29"/>
  <c r="F107" i="29"/>
  <c r="G107" i="29"/>
  <c r="H107" i="29"/>
  <c r="I107" i="29"/>
  <c r="J107" i="29"/>
  <c r="K107" i="29"/>
  <c r="L107" i="29"/>
  <c r="M107" i="29"/>
  <c r="N107" i="29"/>
  <c r="O107" i="29"/>
  <c r="P107" i="29"/>
  <c r="Q107" i="29"/>
  <c r="R107" i="29"/>
  <c r="S107" i="29"/>
  <c r="T107" i="29"/>
  <c r="U107" i="29"/>
  <c r="V107" i="29"/>
  <c r="W107" i="29"/>
  <c r="X107" i="29"/>
  <c r="Y107" i="29"/>
  <c r="Z107" i="29"/>
  <c r="AA107" i="29"/>
  <c r="AB107" i="29"/>
  <c r="AC107" i="29"/>
  <c r="AD107" i="29"/>
  <c r="AE107" i="29"/>
  <c r="C108" i="29"/>
  <c r="D108" i="29"/>
  <c r="E108" i="29"/>
  <c r="F108" i="29"/>
  <c r="G108" i="29"/>
  <c r="H108" i="29"/>
  <c r="I108" i="29"/>
  <c r="J108" i="29"/>
  <c r="K108" i="29"/>
  <c r="L108" i="29"/>
  <c r="M108" i="29"/>
  <c r="N108" i="29"/>
  <c r="O108" i="29"/>
  <c r="P108" i="29"/>
  <c r="Q108" i="29"/>
  <c r="R108" i="29"/>
  <c r="S108" i="29"/>
  <c r="T108" i="29"/>
  <c r="U108" i="29"/>
  <c r="V108" i="29"/>
  <c r="W108" i="29"/>
  <c r="X108" i="29"/>
  <c r="Y108" i="29"/>
  <c r="Z108" i="29"/>
  <c r="AA108" i="29"/>
  <c r="AB108" i="29"/>
  <c r="AC108" i="29"/>
  <c r="AD108" i="29"/>
  <c r="AE108" i="29"/>
  <c r="B109" i="29"/>
  <c r="C109" i="29"/>
  <c r="D109" i="29"/>
  <c r="E109" i="29"/>
  <c r="F109" i="29"/>
  <c r="G109" i="29"/>
  <c r="H109" i="29"/>
  <c r="I109" i="29"/>
  <c r="J109" i="29"/>
  <c r="K109" i="29"/>
  <c r="L109" i="29"/>
  <c r="M109" i="29"/>
  <c r="N109" i="29"/>
  <c r="O109" i="29"/>
  <c r="P109" i="29"/>
  <c r="Q109" i="29"/>
  <c r="R109" i="29"/>
  <c r="S109" i="29"/>
  <c r="T109" i="29"/>
  <c r="U109" i="29"/>
  <c r="V109" i="29"/>
  <c r="W109" i="29"/>
  <c r="X109" i="29"/>
  <c r="Y109" i="29"/>
  <c r="Z109" i="29"/>
  <c r="AA109" i="29"/>
  <c r="AB109" i="29"/>
  <c r="AC109" i="29"/>
  <c r="AD109" i="29"/>
  <c r="AE109" i="29"/>
  <c r="B110" i="29"/>
  <c r="C110" i="29"/>
  <c r="D110" i="29"/>
  <c r="E110" i="29"/>
  <c r="F110" i="29"/>
  <c r="G110" i="29"/>
  <c r="H110" i="29"/>
  <c r="I110" i="29"/>
  <c r="J110" i="29"/>
  <c r="K110" i="29"/>
  <c r="L110" i="29"/>
  <c r="M110" i="29"/>
  <c r="N110" i="29"/>
  <c r="O110" i="29"/>
  <c r="P110" i="29"/>
  <c r="Q110" i="29"/>
  <c r="R110" i="29"/>
  <c r="S110" i="29"/>
  <c r="T110" i="29"/>
  <c r="U110" i="29"/>
  <c r="V110" i="29"/>
  <c r="W110" i="29"/>
  <c r="X110" i="29"/>
  <c r="Y110" i="29"/>
  <c r="Z110" i="29"/>
  <c r="AA110" i="29"/>
  <c r="AB110" i="29"/>
  <c r="AC110" i="29"/>
  <c r="AD110" i="29"/>
  <c r="AE110" i="29"/>
  <c r="B111" i="29"/>
  <c r="C111" i="29"/>
  <c r="D111" i="29"/>
  <c r="E111" i="29"/>
  <c r="F111" i="29"/>
  <c r="G111" i="29"/>
  <c r="H111" i="29"/>
  <c r="I111" i="29"/>
  <c r="J111" i="29"/>
  <c r="K111" i="29"/>
  <c r="L111" i="29"/>
  <c r="M111" i="29"/>
  <c r="N111" i="29"/>
  <c r="O111" i="29"/>
  <c r="P111" i="29"/>
  <c r="Q111" i="29"/>
  <c r="R111" i="29"/>
  <c r="S111" i="29"/>
  <c r="T111" i="29"/>
  <c r="U111" i="29"/>
  <c r="V111" i="29"/>
  <c r="W111" i="29"/>
  <c r="X111" i="29"/>
  <c r="Y111" i="29"/>
  <c r="Z111" i="29"/>
  <c r="AA111" i="29"/>
  <c r="AB111" i="29"/>
  <c r="AC111" i="29"/>
  <c r="AD111" i="29"/>
  <c r="AE111" i="29"/>
  <c r="B112" i="29"/>
  <c r="C112" i="29"/>
  <c r="D112" i="29"/>
  <c r="E112" i="29"/>
  <c r="F112" i="29"/>
  <c r="G112" i="29"/>
  <c r="H112" i="29"/>
  <c r="I112" i="29"/>
  <c r="J112" i="29"/>
  <c r="K112" i="29"/>
  <c r="L112" i="29"/>
  <c r="M112" i="29"/>
  <c r="N112" i="29"/>
  <c r="O112" i="29"/>
  <c r="P112" i="29"/>
  <c r="Q112" i="29"/>
  <c r="R112" i="29"/>
  <c r="S112" i="29"/>
  <c r="T112" i="29"/>
  <c r="U112" i="29"/>
  <c r="V112" i="29"/>
  <c r="W112" i="29"/>
  <c r="X112" i="29"/>
  <c r="Y112" i="29"/>
  <c r="Z112" i="29"/>
  <c r="AA112" i="29"/>
  <c r="AB112" i="29"/>
  <c r="AC112" i="29"/>
  <c r="AD112" i="29"/>
  <c r="AE112" i="29"/>
  <c r="B113" i="29"/>
  <c r="C113" i="29"/>
  <c r="D113" i="29"/>
  <c r="E113" i="29"/>
  <c r="F113" i="29"/>
  <c r="G113" i="29"/>
  <c r="H113" i="29"/>
  <c r="I113" i="29"/>
  <c r="J113" i="29"/>
  <c r="K113" i="29"/>
  <c r="L113" i="29"/>
  <c r="M113" i="29"/>
  <c r="N113" i="29"/>
  <c r="O113" i="29"/>
  <c r="P113" i="29"/>
  <c r="Q113" i="29"/>
  <c r="R113" i="29"/>
  <c r="S113" i="29"/>
  <c r="T113" i="29"/>
  <c r="U113" i="29"/>
  <c r="V113" i="29"/>
  <c r="W113" i="29"/>
  <c r="X113" i="29"/>
  <c r="Y113" i="29"/>
  <c r="Z113" i="29"/>
  <c r="AA113" i="29"/>
  <c r="AB113" i="29"/>
  <c r="AC113" i="29"/>
  <c r="AD113" i="29"/>
  <c r="AE113" i="29"/>
  <c r="B114" i="29"/>
  <c r="C114" i="29"/>
  <c r="D114" i="29"/>
  <c r="E114" i="29"/>
  <c r="F114" i="29"/>
  <c r="G114" i="29"/>
  <c r="H114" i="29"/>
  <c r="I114" i="29"/>
  <c r="J114" i="29"/>
  <c r="K114" i="29"/>
  <c r="L114" i="29"/>
  <c r="M114" i="29"/>
  <c r="N114" i="29"/>
  <c r="O114" i="29"/>
  <c r="P114" i="29"/>
  <c r="Q114" i="29"/>
  <c r="R114" i="29"/>
  <c r="S114" i="29"/>
  <c r="T114" i="29"/>
  <c r="U114" i="29"/>
  <c r="V114" i="29"/>
  <c r="W114" i="29"/>
  <c r="X114" i="29"/>
  <c r="Y114" i="29"/>
  <c r="Z114" i="29"/>
  <c r="AA114" i="29"/>
  <c r="AB114" i="29"/>
  <c r="AC114" i="29"/>
  <c r="AD114" i="29"/>
  <c r="AE114" i="29"/>
  <c r="B115" i="29"/>
  <c r="C115" i="29"/>
  <c r="D115" i="29"/>
  <c r="E115" i="29"/>
  <c r="F115" i="29"/>
  <c r="G115" i="29"/>
  <c r="H115" i="29"/>
  <c r="I115" i="29"/>
  <c r="J115" i="29"/>
  <c r="K115" i="29"/>
  <c r="L115" i="29"/>
  <c r="M115" i="29"/>
  <c r="N115" i="29"/>
  <c r="O115" i="29"/>
  <c r="P115" i="29"/>
  <c r="Q115" i="29"/>
  <c r="R115" i="29"/>
  <c r="S115" i="29"/>
  <c r="T115" i="29"/>
  <c r="U115" i="29"/>
  <c r="V115" i="29"/>
  <c r="W115" i="29"/>
  <c r="X115" i="29"/>
  <c r="Y115" i="29"/>
  <c r="Z115" i="29"/>
  <c r="AA115" i="29"/>
  <c r="AB115" i="29"/>
  <c r="AC115" i="29"/>
  <c r="AD115" i="29"/>
  <c r="AE115" i="29"/>
  <c r="B116" i="29"/>
  <c r="C116" i="29"/>
  <c r="D116" i="29"/>
  <c r="E116" i="29"/>
  <c r="F116" i="29"/>
  <c r="G116" i="29"/>
  <c r="H116" i="29"/>
  <c r="I116" i="29"/>
  <c r="J116" i="29"/>
  <c r="K116" i="29"/>
  <c r="L116" i="29"/>
  <c r="M116" i="29"/>
  <c r="N116" i="29"/>
  <c r="O116" i="29"/>
  <c r="P116" i="29"/>
  <c r="Q116" i="29"/>
  <c r="R116" i="29"/>
  <c r="S116" i="29"/>
  <c r="T116" i="29"/>
  <c r="U116" i="29"/>
  <c r="V116" i="29"/>
  <c r="W116" i="29"/>
  <c r="X116" i="29"/>
  <c r="Y116" i="29"/>
  <c r="Z116" i="29"/>
  <c r="AA116" i="29"/>
  <c r="AB116" i="29"/>
  <c r="AC116" i="29"/>
  <c r="AD116" i="29"/>
  <c r="AE116" i="29"/>
  <c r="B117" i="29"/>
  <c r="C117" i="29"/>
  <c r="D117" i="29"/>
  <c r="E117" i="29"/>
  <c r="F117" i="29"/>
  <c r="G117" i="29"/>
  <c r="H117" i="29"/>
  <c r="I117" i="29"/>
  <c r="J117" i="29"/>
  <c r="K117" i="29"/>
  <c r="L117" i="29"/>
  <c r="M117" i="29"/>
  <c r="N117" i="29"/>
  <c r="O117" i="29"/>
  <c r="P117" i="29"/>
  <c r="Q117" i="29"/>
  <c r="R117" i="29"/>
  <c r="S117" i="29"/>
  <c r="T117" i="29"/>
  <c r="U117" i="29"/>
  <c r="V117" i="29"/>
  <c r="W117" i="29"/>
  <c r="X117" i="29"/>
  <c r="Y117" i="29"/>
  <c r="Z117" i="29"/>
  <c r="AA117" i="29"/>
  <c r="AB117" i="29"/>
  <c r="AC117" i="29"/>
  <c r="AD117" i="29"/>
  <c r="AE117" i="29"/>
  <c r="B118" i="29"/>
  <c r="C118" i="29"/>
  <c r="D118" i="29"/>
  <c r="E118" i="29"/>
  <c r="F118" i="29"/>
  <c r="G118" i="29"/>
  <c r="H118" i="29"/>
  <c r="I118" i="29"/>
  <c r="J118" i="29"/>
  <c r="K118" i="29"/>
  <c r="L118" i="29"/>
  <c r="M118" i="29"/>
  <c r="N118" i="29"/>
  <c r="O118" i="29"/>
  <c r="P118" i="29"/>
  <c r="Q118" i="29"/>
  <c r="R118" i="29"/>
  <c r="S118" i="29"/>
  <c r="T118" i="29"/>
  <c r="U118" i="29"/>
  <c r="V118" i="29"/>
  <c r="W118" i="29"/>
  <c r="X118" i="29"/>
  <c r="Y118" i="29"/>
  <c r="Z118" i="29"/>
  <c r="AA118" i="29"/>
  <c r="AB118" i="29"/>
  <c r="AC118" i="29"/>
  <c r="AD118" i="29"/>
  <c r="AE118" i="29"/>
  <c r="B119" i="29"/>
  <c r="C119" i="29"/>
  <c r="D119" i="29"/>
  <c r="E119" i="29"/>
  <c r="F119" i="29"/>
  <c r="G119" i="29"/>
  <c r="H119" i="29"/>
  <c r="I119" i="29"/>
  <c r="J119" i="29"/>
  <c r="K119" i="29"/>
  <c r="L119" i="29"/>
  <c r="M119" i="29"/>
  <c r="N119" i="29"/>
  <c r="O119" i="29"/>
  <c r="P119" i="29"/>
  <c r="Q119" i="29"/>
  <c r="R119" i="29"/>
  <c r="S119" i="29"/>
  <c r="T119" i="29"/>
  <c r="U119" i="29"/>
  <c r="V119" i="29"/>
  <c r="W119" i="29"/>
  <c r="X119" i="29"/>
  <c r="Y119" i="29"/>
  <c r="Z119" i="29"/>
  <c r="AA119" i="29"/>
  <c r="AB119" i="29"/>
  <c r="AC119" i="29"/>
  <c r="AD119" i="29"/>
  <c r="AE119" i="29"/>
  <c r="B120" i="29"/>
  <c r="C120" i="29"/>
  <c r="D120" i="29"/>
  <c r="E120" i="29"/>
  <c r="F120" i="29"/>
  <c r="G120" i="29"/>
  <c r="H120" i="29"/>
  <c r="I120" i="29"/>
  <c r="J120" i="29"/>
  <c r="K120" i="29"/>
  <c r="L120" i="29"/>
  <c r="M120" i="29"/>
  <c r="N120" i="29"/>
  <c r="O120" i="29"/>
  <c r="P120" i="29"/>
  <c r="Q120" i="29"/>
  <c r="R120" i="29"/>
  <c r="S120" i="29"/>
  <c r="T120" i="29"/>
  <c r="U120" i="29"/>
  <c r="V120" i="29"/>
  <c r="W120" i="29"/>
  <c r="X120" i="29"/>
  <c r="Y120" i="29"/>
  <c r="Z120" i="29"/>
  <c r="AA120" i="29"/>
  <c r="AB120" i="29"/>
  <c r="AC120" i="29"/>
  <c r="AD120" i="29"/>
  <c r="AE120" i="29"/>
  <c r="B121" i="29"/>
  <c r="C121" i="29"/>
  <c r="D121" i="29"/>
  <c r="E121" i="29"/>
  <c r="F121" i="29"/>
  <c r="G121" i="29"/>
  <c r="H121" i="29"/>
  <c r="I121" i="29"/>
  <c r="J121" i="29"/>
  <c r="K121" i="29"/>
  <c r="L121" i="29"/>
  <c r="M121" i="29"/>
  <c r="N121" i="29"/>
  <c r="O121" i="29"/>
  <c r="P121" i="29"/>
  <c r="Q121" i="29"/>
  <c r="R121" i="29"/>
  <c r="S121" i="29"/>
  <c r="T121" i="29"/>
  <c r="U121" i="29"/>
  <c r="V121" i="29"/>
  <c r="W121" i="29"/>
  <c r="X121" i="29"/>
  <c r="Y121" i="29"/>
  <c r="Z121" i="29"/>
  <c r="AA121" i="29"/>
  <c r="AB121" i="29"/>
  <c r="AC121" i="29"/>
  <c r="AD121" i="29"/>
  <c r="AE121" i="29"/>
  <c r="B122" i="29"/>
  <c r="C122" i="29"/>
  <c r="D122" i="29"/>
  <c r="E122" i="29"/>
  <c r="F122" i="29"/>
  <c r="G122" i="29"/>
  <c r="H122" i="29"/>
  <c r="I122" i="29"/>
  <c r="J122" i="29"/>
  <c r="K122" i="29"/>
  <c r="L122" i="29"/>
  <c r="M122" i="29"/>
  <c r="N122" i="29"/>
  <c r="O122" i="29"/>
  <c r="P122" i="29"/>
  <c r="Q122" i="29"/>
  <c r="R122" i="29"/>
  <c r="S122" i="29"/>
  <c r="T122" i="29"/>
  <c r="U122" i="29"/>
  <c r="V122" i="29"/>
  <c r="W122" i="29"/>
  <c r="X122" i="29"/>
  <c r="Y122" i="29"/>
  <c r="Z122" i="29"/>
  <c r="AA122" i="29"/>
  <c r="AB122" i="29"/>
  <c r="AC122" i="29"/>
  <c r="AD122" i="29"/>
  <c r="AE122" i="29"/>
  <c r="B123" i="29"/>
  <c r="C123" i="29"/>
  <c r="D123" i="29"/>
  <c r="E123" i="29"/>
  <c r="F123" i="29"/>
  <c r="G123" i="29"/>
  <c r="H123" i="29"/>
  <c r="I123" i="29"/>
  <c r="J123" i="29"/>
  <c r="K123" i="29"/>
  <c r="L123" i="29"/>
  <c r="M123" i="29"/>
  <c r="N123" i="29"/>
  <c r="O123" i="29"/>
  <c r="P123" i="29"/>
  <c r="Q123" i="29"/>
  <c r="R123" i="29"/>
  <c r="S123" i="29"/>
  <c r="T123" i="29"/>
  <c r="U123" i="29"/>
  <c r="V123" i="29"/>
  <c r="W123" i="29"/>
  <c r="X123" i="29"/>
  <c r="Y123" i="29"/>
  <c r="Z123" i="29"/>
  <c r="AA123" i="29"/>
  <c r="AB123" i="29"/>
  <c r="AC123" i="29"/>
  <c r="AD123" i="29"/>
  <c r="AE123" i="29"/>
  <c r="B124" i="29"/>
  <c r="C124" i="29"/>
  <c r="D124" i="29"/>
  <c r="E124" i="29"/>
  <c r="F124" i="29"/>
  <c r="G124" i="29"/>
  <c r="H124" i="29"/>
  <c r="I124" i="29"/>
  <c r="J124" i="29"/>
  <c r="K124" i="29"/>
  <c r="L124" i="29"/>
  <c r="M124" i="29"/>
  <c r="N124" i="29"/>
  <c r="O124" i="29"/>
  <c r="P124" i="29"/>
  <c r="Q124" i="29"/>
  <c r="R124" i="29"/>
  <c r="S124" i="29"/>
  <c r="T124" i="29"/>
  <c r="U124" i="29"/>
  <c r="V124" i="29"/>
  <c r="W124" i="29"/>
  <c r="X124" i="29"/>
  <c r="Y124" i="29"/>
  <c r="Z124" i="29"/>
  <c r="AA124" i="29"/>
  <c r="AB124" i="29"/>
  <c r="AC124" i="29"/>
  <c r="AD124" i="29"/>
  <c r="AE124" i="29"/>
  <c r="B125" i="29"/>
  <c r="C125" i="29"/>
  <c r="D125" i="29"/>
  <c r="E125" i="29"/>
  <c r="F125" i="29"/>
  <c r="G125" i="29"/>
  <c r="H125" i="29"/>
  <c r="I125" i="29"/>
  <c r="J125" i="29"/>
  <c r="K125" i="29"/>
  <c r="L125" i="29"/>
  <c r="M125" i="29"/>
  <c r="N125" i="29"/>
  <c r="O125" i="29"/>
  <c r="P125" i="29"/>
  <c r="Q125" i="29"/>
  <c r="R125" i="29"/>
  <c r="S125" i="29"/>
  <c r="T125" i="29"/>
  <c r="U125" i="29"/>
  <c r="V125" i="29"/>
  <c r="W125" i="29"/>
  <c r="X125" i="29"/>
  <c r="Y125" i="29"/>
  <c r="Z125" i="29"/>
  <c r="AA125" i="29"/>
  <c r="AB125" i="29"/>
  <c r="AC125" i="29"/>
  <c r="AD125" i="29"/>
  <c r="AE125" i="29"/>
  <c r="B126" i="29"/>
  <c r="C126" i="29"/>
  <c r="D126" i="29"/>
  <c r="E126" i="29"/>
  <c r="F126" i="29"/>
  <c r="G126" i="29"/>
  <c r="H126" i="29"/>
  <c r="I126" i="29"/>
  <c r="J126" i="29"/>
  <c r="K126" i="29"/>
  <c r="L126" i="29"/>
  <c r="M126" i="29"/>
  <c r="N126" i="29"/>
  <c r="O126" i="29"/>
  <c r="P126" i="29"/>
  <c r="Q126" i="29"/>
  <c r="R126" i="29"/>
  <c r="S126" i="29"/>
  <c r="T126" i="29"/>
  <c r="U126" i="29"/>
  <c r="V126" i="29"/>
  <c r="W126" i="29"/>
  <c r="X126" i="29"/>
  <c r="Y126" i="29"/>
  <c r="Z126" i="29"/>
  <c r="AA126" i="29"/>
  <c r="AB126" i="29"/>
  <c r="AC126" i="29"/>
  <c r="AD126" i="29"/>
  <c r="AE126" i="29"/>
  <c r="B127" i="29"/>
  <c r="C127" i="29"/>
  <c r="D127" i="29"/>
  <c r="E127" i="29"/>
  <c r="F127" i="29"/>
  <c r="G127" i="29"/>
  <c r="H127" i="29"/>
  <c r="I127" i="29"/>
  <c r="J127" i="29"/>
  <c r="K127" i="29"/>
  <c r="L127" i="29"/>
  <c r="M127" i="29"/>
  <c r="N127" i="29"/>
  <c r="O127" i="29"/>
  <c r="P127" i="29"/>
  <c r="Q127" i="29"/>
  <c r="R127" i="29"/>
  <c r="S127" i="29"/>
  <c r="T127" i="29"/>
  <c r="U127" i="29"/>
  <c r="V127" i="29"/>
  <c r="W127" i="29"/>
  <c r="X127" i="29"/>
  <c r="Y127" i="29"/>
  <c r="Z127" i="29"/>
  <c r="AA127" i="29"/>
  <c r="AB127" i="29"/>
  <c r="AC127" i="29"/>
  <c r="AD127" i="29"/>
  <c r="AE127" i="29"/>
  <c r="B128" i="29"/>
  <c r="C128" i="29"/>
  <c r="D128" i="29"/>
  <c r="E128" i="29"/>
  <c r="F128" i="29"/>
  <c r="G128" i="29"/>
  <c r="H128" i="29"/>
  <c r="I128" i="29"/>
  <c r="J128" i="29"/>
  <c r="K128" i="29"/>
  <c r="L128" i="29"/>
  <c r="M128" i="29"/>
  <c r="N128" i="29"/>
  <c r="O128" i="29"/>
  <c r="P128" i="29"/>
  <c r="Q128" i="29"/>
  <c r="R128" i="29"/>
  <c r="S128" i="29"/>
  <c r="T128" i="29"/>
  <c r="U128" i="29"/>
  <c r="V128" i="29"/>
  <c r="W128" i="29"/>
  <c r="X128" i="29"/>
  <c r="Y128" i="29"/>
  <c r="Z128" i="29"/>
  <c r="AA128" i="29"/>
  <c r="AB128" i="29"/>
  <c r="AC128" i="29"/>
  <c r="AD128" i="29"/>
  <c r="AE128" i="29"/>
  <c r="B129" i="29"/>
  <c r="C129" i="29"/>
  <c r="D129" i="29"/>
  <c r="E129" i="29"/>
  <c r="F129" i="29"/>
  <c r="G129" i="29"/>
  <c r="H129" i="29"/>
  <c r="I129" i="29"/>
  <c r="J129" i="29"/>
  <c r="K129" i="29"/>
  <c r="L129" i="29"/>
  <c r="M129" i="29"/>
  <c r="N129" i="29"/>
  <c r="O129" i="29"/>
  <c r="P129" i="29"/>
  <c r="Q129" i="29"/>
  <c r="R129" i="29"/>
  <c r="S129" i="29"/>
  <c r="T129" i="29"/>
  <c r="U129" i="29"/>
  <c r="V129" i="29"/>
  <c r="W129" i="29"/>
  <c r="X129" i="29"/>
  <c r="Y129" i="29"/>
  <c r="Z129" i="29"/>
  <c r="AA129" i="29"/>
  <c r="AB129" i="29"/>
  <c r="AC129" i="29"/>
  <c r="AD129" i="29"/>
  <c r="AE129" i="29"/>
  <c r="B130" i="29"/>
  <c r="C130" i="29"/>
  <c r="D130" i="29"/>
  <c r="E130" i="29"/>
  <c r="F130" i="29"/>
  <c r="G130" i="29"/>
  <c r="H130" i="29"/>
  <c r="I130" i="29"/>
  <c r="J130" i="29"/>
  <c r="K130" i="29"/>
  <c r="L130" i="29"/>
  <c r="M130" i="29"/>
  <c r="N130" i="29"/>
  <c r="O130" i="29"/>
  <c r="P130" i="29"/>
  <c r="Q130" i="29"/>
  <c r="R130" i="29"/>
  <c r="S130" i="29"/>
  <c r="T130" i="29"/>
  <c r="U130" i="29"/>
  <c r="V130" i="29"/>
  <c r="W130" i="29"/>
  <c r="X130" i="29"/>
  <c r="Y130" i="29"/>
  <c r="Z130" i="29"/>
  <c r="AA130" i="29"/>
  <c r="AB130" i="29"/>
  <c r="AC130" i="29"/>
  <c r="AD130" i="29"/>
  <c r="AE130" i="29"/>
  <c r="B131" i="29"/>
  <c r="C131" i="29"/>
  <c r="D131" i="29"/>
  <c r="E131" i="29"/>
  <c r="F131" i="29"/>
  <c r="G131" i="29"/>
  <c r="H131" i="29"/>
  <c r="I131" i="29"/>
  <c r="J131" i="29"/>
  <c r="K131" i="29"/>
  <c r="L131" i="29"/>
  <c r="M131" i="29"/>
  <c r="N131" i="29"/>
  <c r="O131" i="29"/>
  <c r="P131" i="29"/>
  <c r="Q131" i="29"/>
  <c r="R131" i="29"/>
  <c r="S131" i="29"/>
  <c r="T131" i="29"/>
  <c r="U131" i="29"/>
  <c r="V131" i="29"/>
  <c r="W131" i="29"/>
  <c r="X131" i="29"/>
  <c r="Y131" i="29"/>
  <c r="Z131" i="29"/>
  <c r="AA131" i="29"/>
  <c r="AB131" i="29"/>
  <c r="AC131" i="29"/>
  <c r="AD131" i="29"/>
  <c r="AE131" i="29"/>
  <c r="B132" i="29"/>
  <c r="C132" i="29"/>
  <c r="D132" i="29"/>
  <c r="E132" i="29"/>
  <c r="F132" i="29"/>
  <c r="G132" i="29"/>
  <c r="H132" i="29"/>
  <c r="I132" i="29"/>
  <c r="J132" i="29"/>
  <c r="K132" i="29"/>
  <c r="L132" i="29"/>
  <c r="M132" i="29"/>
  <c r="N132" i="29"/>
  <c r="O132" i="29"/>
  <c r="P132" i="29"/>
  <c r="Q132" i="29"/>
  <c r="R132" i="29"/>
  <c r="S132" i="29"/>
  <c r="T132" i="29"/>
  <c r="U132" i="29"/>
  <c r="V132" i="29"/>
  <c r="W132" i="29"/>
  <c r="X132" i="29"/>
  <c r="Y132" i="29"/>
  <c r="Z132" i="29"/>
  <c r="AA132" i="29"/>
  <c r="AB132" i="29"/>
  <c r="AC132" i="29"/>
  <c r="AD132" i="29"/>
  <c r="AE132" i="29"/>
  <c r="B133" i="29"/>
  <c r="C133" i="29"/>
  <c r="D133" i="29"/>
  <c r="E133" i="29"/>
  <c r="F133" i="29"/>
  <c r="G133" i="29"/>
  <c r="H133" i="29"/>
  <c r="I133" i="29"/>
  <c r="J133" i="29"/>
  <c r="K133" i="29"/>
  <c r="L133" i="29"/>
  <c r="M133" i="29"/>
  <c r="N133" i="29"/>
  <c r="O133" i="29"/>
  <c r="P133" i="29"/>
  <c r="Q133" i="29"/>
  <c r="R133" i="29"/>
  <c r="S133" i="29"/>
  <c r="T133" i="29"/>
  <c r="U133" i="29"/>
  <c r="V133" i="29"/>
  <c r="W133" i="29"/>
  <c r="X133" i="29"/>
  <c r="Y133" i="29"/>
  <c r="Z133" i="29"/>
  <c r="AA133" i="29"/>
  <c r="AB133" i="29"/>
  <c r="AC133" i="29"/>
  <c r="AD133" i="29"/>
  <c r="AE133" i="29"/>
  <c r="B134" i="29"/>
  <c r="C134" i="29"/>
  <c r="D134" i="29"/>
  <c r="E134" i="29"/>
  <c r="F134" i="29"/>
  <c r="G134" i="29"/>
  <c r="H134" i="29"/>
  <c r="I134" i="29"/>
  <c r="J134" i="29"/>
  <c r="K134" i="29"/>
  <c r="L134" i="29"/>
  <c r="M134" i="29"/>
  <c r="N134" i="29"/>
  <c r="O134" i="29"/>
  <c r="P134" i="29"/>
  <c r="Q134" i="29"/>
  <c r="R134" i="29"/>
  <c r="S134" i="29"/>
  <c r="T134" i="29"/>
  <c r="U134" i="29"/>
  <c r="V134" i="29"/>
  <c r="W134" i="29"/>
  <c r="X134" i="29"/>
  <c r="Y134" i="29"/>
  <c r="Z134" i="29"/>
  <c r="AA134" i="29"/>
  <c r="AB134" i="29"/>
  <c r="AC134" i="29"/>
  <c r="AD134" i="29"/>
  <c r="AE134" i="29"/>
  <c r="B135" i="29"/>
  <c r="C135" i="29"/>
  <c r="D135" i="29"/>
  <c r="E135" i="29"/>
  <c r="F135" i="29"/>
  <c r="G135" i="29"/>
  <c r="H135" i="29"/>
  <c r="I135" i="29"/>
  <c r="J135" i="29"/>
  <c r="K135" i="29"/>
  <c r="L135" i="29"/>
  <c r="M135" i="29"/>
  <c r="N135" i="29"/>
  <c r="O135" i="29"/>
  <c r="P135" i="29"/>
  <c r="Q135" i="29"/>
  <c r="R135" i="29"/>
  <c r="S135" i="29"/>
  <c r="T135" i="29"/>
  <c r="U135" i="29"/>
  <c r="V135" i="29"/>
  <c r="W135" i="29"/>
  <c r="X135" i="29"/>
  <c r="Y135" i="29"/>
  <c r="Z135" i="29"/>
  <c r="AA135" i="29"/>
  <c r="AB135" i="29"/>
  <c r="AC135" i="29"/>
  <c r="AD135" i="29"/>
  <c r="AE135" i="29"/>
  <c r="B136" i="29"/>
  <c r="C136" i="29"/>
  <c r="D136" i="29"/>
  <c r="E136" i="29"/>
  <c r="F136" i="29"/>
  <c r="G136" i="29"/>
  <c r="H136" i="29"/>
  <c r="I136" i="29"/>
  <c r="J136" i="29"/>
  <c r="K136" i="29"/>
  <c r="L136" i="29"/>
  <c r="M136" i="29"/>
  <c r="N136" i="29"/>
  <c r="O136" i="29"/>
  <c r="P136" i="29"/>
  <c r="Q136" i="29"/>
  <c r="R136" i="29"/>
  <c r="S136" i="29"/>
  <c r="T136" i="29"/>
  <c r="U136" i="29"/>
  <c r="V136" i="29"/>
  <c r="W136" i="29"/>
  <c r="X136" i="29"/>
  <c r="Y136" i="29"/>
  <c r="Z136" i="29"/>
  <c r="AA136" i="29"/>
  <c r="AB136" i="29"/>
  <c r="AC136" i="29"/>
  <c r="AD136" i="29"/>
  <c r="AE136" i="29"/>
  <c r="B137" i="29"/>
  <c r="C137" i="29"/>
  <c r="D137" i="29"/>
  <c r="E137" i="29"/>
  <c r="F137" i="29"/>
  <c r="G137" i="29"/>
  <c r="H137" i="29"/>
  <c r="I137" i="29"/>
  <c r="J137" i="29"/>
  <c r="K137" i="29"/>
  <c r="L137" i="29"/>
  <c r="M137" i="29"/>
  <c r="N137" i="29"/>
  <c r="O137" i="29"/>
  <c r="P137" i="29"/>
  <c r="Q137" i="29"/>
  <c r="R137" i="29"/>
  <c r="S137" i="29"/>
  <c r="T137" i="29"/>
  <c r="U137" i="29"/>
  <c r="V137" i="29"/>
  <c r="W137" i="29"/>
  <c r="X137" i="29"/>
  <c r="Y137" i="29"/>
  <c r="Z137" i="29"/>
  <c r="AA137" i="29"/>
  <c r="AB137" i="29"/>
  <c r="AC137" i="29"/>
  <c r="AD137" i="29"/>
  <c r="AE137" i="29"/>
  <c r="B138" i="29"/>
  <c r="C138" i="29"/>
  <c r="D138" i="29"/>
  <c r="E138" i="29"/>
  <c r="F138" i="29"/>
  <c r="G138" i="29"/>
  <c r="H138" i="29"/>
  <c r="I138" i="29"/>
  <c r="J138" i="29"/>
  <c r="K138" i="29"/>
  <c r="L138" i="29"/>
  <c r="M138" i="29"/>
  <c r="N138" i="29"/>
  <c r="O138" i="29"/>
  <c r="P138" i="29"/>
  <c r="Q138" i="29"/>
  <c r="R138" i="29"/>
  <c r="S138" i="29"/>
  <c r="T138" i="29"/>
  <c r="U138" i="29"/>
  <c r="V138" i="29"/>
  <c r="W138" i="29"/>
  <c r="X138" i="29"/>
  <c r="Y138" i="29"/>
  <c r="Z138" i="29"/>
  <c r="AA138" i="29"/>
  <c r="AB138" i="29"/>
  <c r="AC138" i="29"/>
  <c r="AD138" i="29"/>
  <c r="AE138" i="29"/>
  <c r="B139" i="29"/>
  <c r="C139" i="29"/>
  <c r="D139" i="29"/>
  <c r="E139" i="29"/>
  <c r="F139" i="29"/>
  <c r="G139" i="29"/>
  <c r="H139" i="29"/>
  <c r="I139" i="29"/>
  <c r="J139" i="29"/>
  <c r="K139" i="29"/>
  <c r="L139" i="29"/>
  <c r="M139" i="29"/>
  <c r="N139" i="29"/>
  <c r="O139" i="29"/>
  <c r="P139" i="29"/>
  <c r="Q139" i="29"/>
  <c r="R139" i="29"/>
  <c r="S139" i="29"/>
  <c r="T139" i="29"/>
  <c r="U139" i="29"/>
  <c r="V139" i="29"/>
  <c r="W139" i="29"/>
  <c r="X139" i="29"/>
  <c r="Y139" i="29"/>
  <c r="Z139" i="29"/>
  <c r="AA139" i="29"/>
  <c r="AB139" i="29"/>
  <c r="AC139" i="29"/>
  <c r="AD139" i="29"/>
  <c r="AE139" i="29"/>
  <c r="B140" i="29"/>
  <c r="C140" i="29"/>
  <c r="D140" i="29"/>
  <c r="E140" i="29"/>
  <c r="F140" i="29"/>
  <c r="G140" i="29"/>
  <c r="H140" i="29"/>
  <c r="I140" i="29"/>
  <c r="J140" i="29"/>
  <c r="K140" i="29"/>
  <c r="L140" i="29"/>
  <c r="M140" i="29"/>
  <c r="N140" i="29"/>
  <c r="O140" i="29"/>
  <c r="P140" i="29"/>
  <c r="Q140" i="29"/>
  <c r="R140" i="29"/>
  <c r="S140" i="29"/>
  <c r="T140" i="29"/>
  <c r="U140" i="29"/>
  <c r="V140" i="29"/>
  <c r="W140" i="29"/>
  <c r="X140" i="29"/>
  <c r="Y140" i="29"/>
  <c r="Z140" i="29"/>
  <c r="AA140" i="29"/>
  <c r="AB140" i="29"/>
  <c r="AC140" i="29"/>
  <c r="AD140" i="29"/>
  <c r="AE140" i="29"/>
  <c r="B141" i="29"/>
  <c r="C141" i="29"/>
  <c r="D141" i="29"/>
  <c r="E141" i="29"/>
  <c r="F141" i="29"/>
  <c r="G141" i="29"/>
  <c r="H141" i="29"/>
  <c r="I141" i="29"/>
  <c r="J141" i="29"/>
  <c r="K141" i="29"/>
  <c r="L141" i="29"/>
  <c r="M141" i="29"/>
  <c r="N141" i="29"/>
  <c r="O141" i="29"/>
  <c r="P141" i="29"/>
  <c r="Q141" i="29"/>
  <c r="R141" i="29"/>
  <c r="S141" i="29"/>
  <c r="T141" i="29"/>
  <c r="U141" i="29"/>
  <c r="V141" i="29"/>
  <c r="W141" i="29"/>
  <c r="X141" i="29"/>
  <c r="Y141" i="29"/>
  <c r="Z141" i="29"/>
  <c r="AA141" i="29"/>
  <c r="AB141" i="29"/>
  <c r="AC141" i="29"/>
  <c r="AD141" i="29"/>
  <c r="AE141" i="29"/>
  <c r="C142" i="29"/>
  <c r="D142" i="29"/>
  <c r="E142" i="29"/>
  <c r="F142" i="29"/>
  <c r="G142" i="29"/>
  <c r="H142" i="29"/>
  <c r="I142" i="29"/>
  <c r="J142" i="29"/>
  <c r="K142" i="29"/>
  <c r="L142" i="29"/>
  <c r="M142" i="29"/>
  <c r="N142" i="29"/>
  <c r="O142" i="29"/>
  <c r="P142" i="29"/>
  <c r="Q142" i="29"/>
  <c r="R142" i="29"/>
  <c r="S142" i="29"/>
  <c r="T142" i="29"/>
  <c r="U142" i="29"/>
  <c r="V142" i="29"/>
  <c r="W142" i="29"/>
  <c r="X142" i="29"/>
  <c r="Y142" i="29"/>
  <c r="Z142" i="29"/>
  <c r="AA142" i="29"/>
  <c r="AB142" i="29"/>
  <c r="AC142" i="29"/>
  <c r="AD142" i="29"/>
  <c r="AE142" i="29"/>
  <c r="C143" i="29"/>
  <c r="D143" i="29"/>
  <c r="E143" i="29"/>
  <c r="F143" i="29"/>
  <c r="G143" i="29"/>
  <c r="H143" i="29"/>
  <c r="I143" i="29"/>
  <c r="J143" i="29"/>
  <c r="K143" i="29"/>
  <c r="L143" i="29"/>
  <c r="M143" i="29"/>
  <c r="N143" i="29"/>
  <c r="O143" i="29"/>
  <c r="P143" i="29"/>
  <c r="Q143" i="29"/>
  <c r="R143" i="29"/>
  <c r="S143" i="29"/>
  <c r="T143" i="29"/>
  <c r="U143" i="29"/>
  <c r="V143" i="29"/>
  <c r="W143" i="29"/>
  <c r="X143" i="29"/>
  <c r="Y143" i="29"/>
  <c r="Z143" i="29"/>
  <c r="AA143" i="29"/>
  <c r="AB143" i="29"/>
  <c r="AC143" i="29"/>
  <c r="AD143" i="29"/>
  <c r="AE143" i="29"/>
  <c r="B144" i="29"/>
  <c r="C144" i="29"/>
  <c r="D144" i="29"/>
  <c r="E144" i="29"/>
  <c r="F144" i="29"/>
  <c r="G144" i="29"/>
  <c r="H144" i="29"/>
  <c r="I144" i="29"/>
  <c r="J144" i="29"/>
  <c r="K144" i="29"/>
  <c r="L144" i="29"/>
  <c r="M144" i="29"/>
  <c r="N144" i="29"/>
  <c r="O144" i="29"/>
  <c r="P144" i="29"/>
  <c r="Q144" i="29"/>
  <c r="R144" i="29"/>
  <c r="S144" i="29"/>
  <c r="T144" i="29"/>
  <c r="U144" i="29"/>
  <c r="V144" i="29"/>
  <c r="W144" i="29"/>
  <c r="X144" i="29"/>
  <c r="Y144" i="29"/>
  <c r="Z144" i="29"/>
  <c r="AA144" i="29"/>
  <c r="AB144" i="29"/>
  <c r="AC144" i="29"/>
  <c r="AD144" i="29"/>
  <c r="AE144" i="29"/>
  <c r="C145" i="29"/>
  <c r="D145" i="29"/>
  <c r="E145" i="29"/>
  <c r="F145" i="29"/>
  <c r="G145" i="29"/>
  <c r="H145" i="29"/>
  <c r="I145" i="29"/>
  <c r="J145" i="29"/>
  <c r="K145" i="29"/>
  <c r="L145" i="29"/>
  <c r="M145" i="29"/>
  <c r="N145" i="29"/>
  <c r="O145" i="29"/>
  <c r="P145" i="29"/>
  <c r="Q145" i="29"/>
  <c r="R145" i="29"/>
  <c r="S145" i="29"/>
  <c r="T145" i="29"/>
  <c r="U145" i="29"/>
  <c r="V145" i="29"/>
  <c r="W145" i="29"/>
  <c r="X145" i="29"/>
  <c r="Y145" i="29"/>
  <c r="Z145" i="29"/>
  <c r="AA145" i="29"/>
  <c r="AB145" i="29"/>
  <c r="AC145" i="29"/>
  <c r="AD145" i="29"/>
  <c r="AE145" i="29"/>
  <c r="C146" i="29"/>
  <c r="D146" i="29"/>
  <c r="E146" i="29"/>
  <c r="F146" i="29"/>
  <c r="G146" i="29"/>
  <c r="H146" i="29"/>
  <c r="I146" i="29"/>
  <c r="J146" i="29"/>
  <c r="K146" i="29"/>
  <c r="L146" i="29"/>
  <c r="M146" i="29"/>
  <c r="N146" i="29"/>
  <c r="O146" i="29"/>
  <c r="P146" i="29"/>
  <c r="Q146" i="29"/>
  <c r="R146" i="29"/>
  <c r="S146" i="29"/>
  <c r="T146" i="29"/>
  <c r="U146" i="29"/>
  <c r="V146" i="29"/>
  <c r="W146" i="29"/>
  <c r="X146" i="29"/>
  <c r="Y146" i="29"/>
  <c r="Z146" i="29"/>
  <c r="AA146" i="29"/>
  <c r="AB146" i="29"/>
  <c r="AC146" i="29"/>
  <c r="AD146" i="29"/>
  <c r="AE146" i="29"/>
  <c r="C147" i="29"/>
  <c r="D147" i="29"/>
  <c r="E147" i="29"/>
  <c r="F147" i="29"/>
  <c r="G147" i="29"/>
  <c r="H147" i="29"/>
  <c r="I147" i="29"/>
  <c r="J147" i="29"/>
  <c r="K147" i="29"/>
  <c r="L147" i="29"/>
  <c r="M147" i="29"/>
  <c r="N147" i="29"/>
  <c r="O147" i="29"/>
  <c r="P147" i="29"/>
  <c r="Q147" i="29"/>
  <c r="R147" i="29"/>
  <c r="S147" i="29"/>
  <c r="T147" i="29"/>
  <c r="U147" i="29"/>
  <c r="V147" i="29"/>
  <c r="W147" i="29"/>
  <c r="X147" i="29"/>
  <c r="Y147" i="29"/>
  <c r="Z147" i="29"/>
  <c r="AA147" i="29"/>
  <c r="AB147" i="29"/>
  <c r="AC147" i="29"/>
  <c r="AD147" i="29"/>
  <c r="AE147" i="29"/>
  <c r="C148" i="29"/>
  <c r="D148" i="29"/>
  <c r="E148" i="29"/>
  <c r="F148" i="29"/>
  <c r="G148" i="29"/>
  <c r="H148" i="29"/>
  <c r="I148" i="29"/>
  <c r="J148" i="29"/>
  <c r="K148" i="29"/>
  <c r="L148" i="29"/>
  <c r="M148" i="29"/>
  <c r="N148" i="29"/>
  <c r="O148" i="29"/>
  <c r="P148" i="29"/>
  <c r="Q148" i="29"/>
  <c r="R148" i="29"/>
  <c r="S148" i="29"/>
  <c r="T148" i="29"/>
  <c r="U148" i="29"/>
  <c r="V148" i="29"/>
  <c r="W148" i="29"/>
  <c r="X148" i="29"/>
  <c r="Y148" i="29"/>
  <c r="Z148" i="29"/>
  <c r="AA148" i="29"/>
  <c r="AB148" i="29"/>
  <c r="AC148" i="29"/>
  <c r="AD148" i="29"/>
  <c r="AE148" i="29"/>
  <c r="C149" i="29"/>
  <c r="D149" i="29"/>
  <c r="E149" i="29"/>
  <c r="F149" i="29"/>
  <c r="G149" i="29"/>
  <c r="H149" i="29"/>
  <c r="I149" i="29"/>
  <c r="J149" i="29"/>
  <c r="K149" i="29"/>
  <c r="L149" i="29"/>
  <c r="M149" i="29"/>
  <c r="N149" i="29"/>
  <c r="O149" i="29"/>
  <c r="P149" i="29"/>
  <c r="Q149" i="29"/>
  <c r="R149" i="29"/>
  <c r="S149" i="29"/>
  <c r="T149" i="29"/>
  <c r="U149" i="29"/>
  <c r="V149" i="29"/>
  <c r="W149" i="29"/>
  <c r="X149" i="29"/>
  <c r="Y149" i="29"/>
  <c r="Z149" i="29"/>
  <c r="AA149" i="29"/>
  <c r="AB149" i="29"/>
  <c r="AC149" i="29"/>
  <c r="AD149" i="29"/>
  <c r="AE149" i="29"/>
  <c r="C150" i="29"/>
  <c r="D150" i="29"/>
  <c r="E150" i="29"/>
  <c r="F150" i="29"/>
  <c r="G150" i="29"/>
  <c r="H150" i="29"/>
  <c r="I150" i="29"/>
  <c r="J150" i="29"/>
  <c r="K150" i="29"/>
  <c r="L150" i="29"/>
  <c r="M150" i="29"/>
  <c r="N150" i="29"/>
  <c r="O150" i="29"/>
  <c r="P150" i="29"/>
  <c r="Q150" i="29"/>
  <c r="R150" i="29"/>
  <c r="S150" i="29"/>
  <c r="T150" i="29"/>
  <c r="U150" i="29"/>
  <c r="V150" i="29"/>
  <c r="W150" i="29"/>
  <c r="X150" i="29"/>
  <c r="Y150" i="29"/>
  <c r="Z150" i="29"/>
  <c r="AA150" i="29"/>
  <c r="AB150" i="29"/>
  <c r="AC150" i="29"/>
  <c r="AD150" i="29"/>
  <c r="AE150" i="29"/>
  <c r="C151" i="29"/>
  <c r="D151" i="29"/>
  <c r="E151" i="29"/>
  <c r="F151" i="29"/>
  <c r="G151" i="29"/>
  <c r="H151" i="29"/>
  <c r="I151" i="29"/>
  <c r="J151" i="29"/>
  <c r="K151" i="29"/>
  <c r="L151" i="29"/>
  <c r="M151" i="29"/>
  <c r="N151" i="29"/>
  <c r="O151" i="29"/>
  <c r="P151" i="29"/>
  <c r="Q151" i="29"/>
  <c r="R151" i="29"/>
  <c r="S151" i="29"/>
  <c r="T151" i="29"/>
  <c r="U151" i="29"/>
  <c r="V151" i="29"/>
  <c r="W151" i="29"/>
  <c r="X151" i="29"/>
  <c r="Y151" i="29"/>
  <c r="Z151" i="29"/>
  <c r="AA151" i="29"/>
  <c r="AB151" i="29"/>
  <c r="AC151" i="29"/>
  <c r="AD151" i="29"/>
  <c r="AE151" i="29"/>
  <c r="C152" i="29"/>
  <c r="D152" i="29"/>
  <c r="E152" i="29"/>
  <c r="F152" i="29"/>
  <c r="G152" i="29"/>
  <c r="H152" i="29"/>
  <c r="I152" i="29"/>
  <c r="J152" i="29"/>
  <c r="K152" i="29"/>
  <c r="L152" i="29"/>
  <c r="M152" i="29"/>
  <c r="N152" i="29"/>
  <c r="O152" i="29"/>
  <c r="P152" i="29"/>
  <c r="Q152" i="29"/>
  <c r="R152" i="29"/>
  <c r="S152" i="29"/>
  <c r="T152" i="29"/>
  <c r="U152" i="29"/>
  <c r="V152" i="29"/>
  <c r="W152" i="29"/>
  <c r="X152" i="29"/>
  <c r="Y152" i="29"/>
  <c r="Z152" i="29"/>
  <c r="AA152" i="29"/>
  <c r="AB152" i="29"/>
  <c r="AC152" i="29"/>
  <c r="AD152" i="29"/>
  <c r="AE152" i="29"/>
  <c r="B153" i="29"/>
  <c r="C153" i="29"/>
  <c r="D153" i="29"/>
  <c r="E153" i="29"/>
  <c r="F153" i="29"/>
  <c r="G153" i="29"/>
  <c r="H153" i="29"/>
  <c r="I153" i="29"/>
  <c r="J153" i="29"/>
  <c r="K153" i="29"/>
  <c r="L153" i="29"/>
  <c r="M153" i="29"/>
  <c r="N153" i="29"/>
  <c r="O153" i="29"/>
  <c r="P153" i="29"/>
  <c r="Q153" i="29"/>
  <c r="R153" i="29"/>
  <c r="S153" i="29"/>
  <c r="T153" i="29"/>
  <c r="U153" i="29"/>
  <c r="V153" i="29"/>
  <c r="W153" i="29"/>
  <c r="X153" i="29"/>
  <c r="Y153" i="29"/>
  <c r="Z153" i="29"/>
  <c r="AA153" i="29"/>
  <c r="AB153" i="29"/>
  <c r="AC153" i="29"/>
  <c r="AD153" i="29"/>
  <c r="AE153" i="29"/>
  <c r="C154" i="29"/>
  <c r="D154" i="29"/>
  <c r="E154" i="29"/>
  <c r="F154" i="29"/>
  <c r="G154" i="29"/>
  <c r="H154" i="29"/>
  <c r="I154" i="29"/>
  <c r="J154" i="29"/>
  <c r="K154" i="29"/>
  <c r="L154" i="29"/>
  <c r="M154" i="29"/>
  <c r="N154" i="29"/>
  <c r="O154" i="29"/>
  <c r="P154" i="29"/>
  <c r="Q154" i="29"/>
  <c r="R154" i="29"/>
  <c r="S154" i="29"/>
  <c r="T154" i="29"/>
  <c r="U154" i="29"/>
  <c r="V154" i="29"/>
  <c r="W154" i="29"/>
  <c r="X154" i="29"/>
  <c r="Y154" i="29"/>
  <c r="Z154" i="29"/>
  <c r="AA154" i="29"/>
  <c r="AB154" i="29"/>
  <c r="AC154" i="29"/>
  <c r="AD154" i="29"/>
  <c r="AE154" i="29"/>
  <c r="D155" i="29"/>
  <c r="E155" i="29"/>
  <c r="F155" i="29"/>
  <c r="G155" i="29"/>
  <c r="H155" i="29"/>
  <c r="I155" i="29"/>
  <c r="J155" i="29"/>
  <c r="K155" i="29"/>
  <c r="L155" i="29"/>
  <c r="M155" i="29"/>
  <c r="N155" i="29"/>
  <c r="O155" i="29"/>
  <c r="P155" i="29"/>
  <c r="Q155" i="29"/>
  <c r="R155" i="29"/>
  <c r="S155" i="29"/>
  <c r="T155" i="29"/>
  <c r="U155" i="29"/>
  <c r="V155" i="29"/>
  <c r="W155" i="29"/>
  <c r="X155" i="29"/>
  <c r="Y155" i="29"/>
  <c r="Z155" i="29"/>
  <c r="AA155" i="29"/>
  <c r="AB155" i="29"/>
  <c r="AC155" i="29"/>
  <c r="AD155" i="29"/>
  <c r="AE155" i="29"/>
  <c r="C156" i="29"/>
  <c r="D156" i="29"/>
  <c r="E156" i="29"/>
  <c r="F156" i="29"/>
  <c r="G156" i="29"/>
  <c r="H156" i="29"/>
  <c r="I156" i="29"/>
  <c r="J156" i="29"/>
  <c r="K156" i="29"/>
  <c r="L156" i="29"/>
  <c r="M156" i="29"/>
  <c r="N156" i="29"/>
  <c r="O156" i="29"/>
  <c r="P156" i="29"/>
  <c r="Q156" i="29"/>
  <c r="R156" i="29"/>
  <c r="S156" i="29"/>
  <c r="T156" i="29"/>
  <c r="U156" i="29"/>
  <c r="V156" i="29"/>
  <c r="W156" i="29"/>
  <c r="X156" i="29"/>
  <c r="Y156" i="29"/>
  <c r="Z156" i="29"/>
  <c r="AA156" i="29"/>
  <c r="AB156" i="29"/>
  <c r="AC156" i="29"/>
  <c r="AD156" i="29"/>
  <c r="AE156" i="29"/>
  <c r="D157" i="29"/>
  <c r="E157" i="29"/>
  <c r="F157" i="29"/>
  <c r="G157" i="29"/>
  <c r="H157" i="29"/>
  <c r="I157" i="29"/>
  <c r="J157" i="29"/>
  <c r="K157" i="29"/>
  <c r="L157" i="29"/>
  <c r="M157" i="29"/>
  <c r="N157" i="29"/>
  <c r="O157" i="29"/>
  <c r="P157" i="29"/>
  <c r="Q157" i="29"/>
  <c r="R157" i="29"/>
  <c r="S157" i="29"/>
  <c r="T157" i="29"/>
  <c r="U157" i="29"/>
  <c r="V157" i="29"/>
  <c r="W157" i="29"/>
  <c r="X157" i="29"/>
  <c r="Y157" i="29"/>
  <c r="Z157" i="29"/>
  <c r="AA157" i="29"/>
  <c r="AB157" i="29"/>
  <c r="AC157" i="29"/>
  <c r="AD157" i="29"/>
  <c r="AE157" i="29"/>
  <c r="C158" i="29"/>
  <c r="D158" i="29"/>
  <c r="E158" i="29"/>
  <c r="F158" i="29"/>
  <c r="G158" i="29"/>
  <c r="H158" i="29"/>
  <c r="I158" i="29"/>
  <c r="J158" i="29"/>
  <c r="K158" i="29"/>
  <c r="L158" i="29"/>
  <c r="M158" i="29"/>
  <c r="N158" i="29"/>
  <c r="O158" i="29"/>
  <c r="P158" i="29"/>
  <c r="Q158" i="29"/>
  <c r="R158" i="29"/>
  <c r="S158" i="29"/>
  <c r="T158" i="29"/>
  <c r="U158" i="29"/>
  <c r="V158" i="29"/>
  <c r="W158" i="29"/>
  <c r="X158" i="29"/>
  <c r="Y158" i="29"/>
  <c r="Z158" i="29"/>
  <c r="AA158" i="29"/>
  <c r="AB158" i="29"/>
  <c r="AC158" i="29"/>
  <c r="AD158" i="29"/>
  <c r="AE158" i="29"/>
  <c r="D159" i="29"/>
  <c r="E159" i="29"/>
  <c r="F159" i="29"/>
  <c r="G159" i="29"/>
  <c r="H159" i="29"/>
  <c r="I159" i="29"/>
  <c r="J159" i="29"/>
  <c r="K159" i="29"/>
  <c r="L159" i="29"/>
  <c r="M159" i="29"/>
  <c r="N159" i="29"/>
  <c r="O159" i="29"/>
  <c r="P159" i="29"/>
  <c r="Q159" i="29"/>
  <c r="R159" i="29"/>
  <c r="S159" i="29"/>
  <c r="T159" i="29"/>
  <c r="U159" i="29"/>
  <c r="V159" i="29"/>
  <c r="W159" i="29"/>
  <c r="X159" i="29"/>
  <c r="Y159" i="29"/>
  <c r="Z159" i="29"/>
  <c r="AA159" i="29"/>
  <c r="AB159" i="29"/>
  <c r="AC159" i="29"/>
  <c r="AD159" i="29"/>
  <c r="AE159" i="29"/>
  <c r="C160" i="29"/>
  <c r="D160" i="29"/>
  <c r="E160" i="29"/>
  <c r="F160" i="29"/>
  <c r="G160" i="29"/>
  <c r="H160" i="29"/>
  <c r="I160" i="29"/>
  <c r="J160" i="29"/>
  <c r="K160" i="29"/>
  <c r="L160" i="29"/>
  <c r="M160" i="29"/>
  <c r="N160" i="29"/>
  <c r="O160" i="29"/>
  <c r="P160" i="29"/>
  <c r="Q160" i="29"/>
  <c r="R160" i="29"/>
  <c r="S160" i="29"/>
  <c r="T160" i="29"/>
  <c r="U160" i="29"/>
  <c r="V160" i="29"/>
  <c r="W160" i="29"/>
  <c r="X160" i="29"/>
  <c r="Y160" i="29"/>
  <c r="Z160" i="29"/>
  <c r="AA160" i="29"/>
  <c r="AB160" i="29"/>
  <c r="AC160" i="29"/>
  <c r="AD160" i="29"/>
  <c r="AE160" i="29"/>
  <c r="D161" i="29"/>
  <c r="E161" i="29"/>
  <c r="F161" i="29"/>
  <c r="G161" i="29"/>
  <c r="H161" i="29"/>
  <c r="I161" i="29"/>
  <c r="J161" i="29"/>
  <c r="K161" i="29"/>
  <c r="L161" i="29"/>
  <c r="M161" i="29"/>
  <c r="N161" i="29"/>
  <c r="O161" i="29"/>
  <c r="P161" i="29"/>
  <c r="Q161" i="29"/>
  <c r="R161" i="29"/>
  <c r="S161" i="29"/>
  <c r="T161" i="29"/>
  <c r="U161" i="29"/>
  <c r="V161" i="29"/>
  <c r="W161" i="29"/>
  <c r="X161" i="29"/>
  <c r="Y161" i="29"/>
  <c r="Z161" i="29"/>
  <c r="AA161" i="29"/>
  <c r="AB161" i="29"/>
  <c r="AC161" i="29"/>
  <c r="AD161" i="29"/>
  <c r="AE161" i="29"/>
  <c r="C162" i="29"/>
  <c r="D162" i="29"/>
  <c r="E162" i="29"/>
  <c r="F162" i="29"/>
  <c r="G162" i="29"/>
  <c r="H162" i="29"/>
  <c r="I162" i="29"/>
  <c r="J162" i="29"/>
  <c r="K162" i="29"/>
  <c r="L162" i="29"/>
  <c r="M162" i="29"/>
  <c r="N162" i="29"/>
  <c r="O162" i="29"/>
  <c r="P162" i="29"/>
  <c r="Q162" i="29"/>
  <c r="R162" i="29"/>
  <c r="S162" i="29"/>
  <c r="T162" i="29"/>
  <c r="U162" i="29"/>
  <c r="V162" i="29"/>
  <c r="W162" i="29"/>
  <c r="X162" i="29"/>
  <c r="Y162" i="29"/>
  <c r="Z162" i="29"/>
  <c r="AA162" i="29"/>
  <c r="AB162" i="29"/>
  <c r="AC162" i="29"/>
  <c r="AD162" i="29"/>
  <c r="AE162" i="29"/>
  <c r="D163" i="29"/>
  <c r="E163" i="29"/>
  <c r="F163" i="29"/>
  <c r="G163" i="29"/>
  <c r="H163" i="29"/>
  <c r="I163" i="29"/>
  <c r="J163" i="29"/>
  <c r="K163" i="29"/>
  <c r="L163" i="29"/>
  <c r="M163" i="29"/>
  <c r="N163" i="29"/>
  <c r="O163" i="29"/>
  <c r="P163" i="29"/>
  <c r="Q163" i="29"/>
  <c r="R163" i="29"/>
  <c r="S163" i="29"/>
  <c r="T163" i="29"/>
  <c r="U163" i="29"/>
  <c r="V163" i="29"/>
  <c r="W163" i="29"/>
  <c r="X163" i="29"/>
  <c r="Y163" i="29"/>
  <c r="Z163" i="29"/>
  <c r="AA163" i="29"/>
  <c r="AB163" i="29"/>
  <c r="AC163" i="29"/>
  <c r="AD163" i="29"/>
  <c r="AE163" i="29"/>
  <c r="C164" i="29"/>
  <c r="D164" i="29"/>
  <c r="E164" i="29"/>
  <c r="F164" i="29"/>
  <c r="G164" i="29"/>
  <c r="H164" i="29"/>
  <c r="I164" i="29"/>
  <c r="J164" i="29"/>
  <c r="K164" i="29"/>
  <c r="L164" i="29"/>
  <c r="M164" i="29"/>
  <c r="N164" i="29"/>
  <c r="O164" i="29"/>
  <c r="P164" i="29"/>
  <c r="Q164" i="29"/>
  <c r="R164" i="29"/>
  <c r="S164" i="29"/>
  <c r="T164" i="29"/>
  <c r="U164" i="29"/>
  <c r="V164" i="29"/>
  <c r="W164" i="29"/>
  <c r="X164" i="29"/>
  <c r="Y164" i="29"/>
  <c r="Z164" i="29"/>
  <c r="AA164" i="29"/>
  <c r="AB164" i="29"/>
  <c r="AC164" i="29"/>
  <c r="AD164" i="29"/>
  <c r="AE164" i="29"/>
  <c r="D165" i="29"/>
  <c r="E165" i="29"/>
  <c r="F165" i="29"/>
  <c r="G165" i="29"/>
  <c r="H165" i="29"/>
  <c r="I165" i="29"/>
  <c r="J165" i="29"/>
  <c r="K165" i="29"/>
  <c r="L165" i="29"/>
  <c r="M165" i="29"/>
  <c r="N165" i="29"/>
  <c r="O165" i="29"/>
  <c r="P165" i="29"/>
  <c r="Q165" i="29"/>
  <c r="R165" i="29"/>
  <c r="S165" i="29"/>
  <c r="T165" i="29"/>
  <c r="U165" i="29"/>
  <c r="V165" i="29"/>
  <c r="W165" i="29"/>
  <c r="X165" i="29"/>
  <c r="Y165" i="29"/>
  <c r="Z165" i="29"/>
  <c r="AA165" i="29"/>
  <c r="AB165" i="29"/>
  <c r="AC165" i="29"/>
  <c r="AD165" i="29"/>
  <c r="AE165" i="29"/>
  <c r="C166" i="29"/>
  <c r="D166" i="29"/>
  <c r="E166" i="29"/>
  <c r="F166" i="29"/>
  <c r="G166" i="29"/>
  <c r="H166" i="29"/>
  <c r="I166" i="29"/>
  <c r="J166" i="29"/>
  <c r="K166" i="29"/>
  <c r="L166" i="29"/>
  <c r="M166" i="29"/>
  <c r="N166" i="29"/>
  <c r="O166" i="29"/>
  <c r="P166" i="29"/>
  <c r="Q166" i="29"/>
  <c r="R166" i="29"/>
  <c r="S166" i="29"/>
  <c r="T166" i="29"/>
  <c r="U166" i="29"/>
  <c r="V166" i="29"/>
  <c r="W166" i="29"/>
  <c r="X166" i="29"/>
  <c r="Y166" i="29"/>
  <c r="Z166" i="29"/>
  <c r="AA166" i="29"/>
  <c r="AB166" i="29"/>
  <c r="AC166" i="29"/>
  <c r="AD166" i="29"/>
  <c r="AE166"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CD31" i="34"/>
  <c r="CC31" i="34"/>
  <c r="CB31" i="34"/>
  <c r="CD30" i="34"/>
  <c r="CC30" i="34"/>
  <c r="CB30" i="34"/>
  <c r="CD29" i="34"/>
  <c r="CC29" i="34"/>
  <c r="CB29" i="34"/>
  <c r="CD28" i="34"/>
  <c r="CC28" i="34"/>
  <c r="CB28" i="34"/>
  <c r="CD27" i="34"/>
  <c r="CC27" i="34"/>
  <c r="CB27" i="34"/>
  <c r="CD26" i="34"/>
  <c r="CC26" i="34"/>
  <c r="CB26" i="34"/>
  <c r="CD25" i="34"/>
  <c r="CC25" i="34"/>
  <c r="CB25" i="34"/>
  <c r="CD24" i="34"/>
  <c r="CC24" i="34"/>
  <c r="CB24" i="34"/>
  <c r="CD23" i="34"/>
  <c r="CC23" i="34"/>
  <c r="CB23" i="34"/>
  <c r="CD22" i="34"/>
  <c r="CC22" i="34"/>
  <c r="CB22" i="34"/>
  <c r="CD21" i="34"/>
  <c r="CC21" i="34"/>
  <c r="CB21" i="34"/>
  <c r="CD20" i="34"/>
  <c r="CC20" i="34"/>
  <c r="CB20" i="34"/>
  <c r="CD19" i="34"/>
  <c r="CC19" i="34"/>
  <c r="CB19" i="34"/>
  <c r="CD18" i="34"/>
  <c r="CC18" i="34"/>
  <c r="CB18" i="34"/>
  <c r="CD17" i="34"/>
  <c r="CC17" i="34"/>
  <c r="CB17" i="34"/>
  <c r="CD16" i="34"/>
  <c r="CC16" i="34"/>
  <c r="CB16" i="34"/>
  <c r="CD15" i="34"/>
  <c r="CC15" i="34"/>
  <c r="CB15" i="34"/>
  <c r="CD14" i="34"/>
  <c r="CC14" i="34"/>
  <c r="CB14" i="34"/>
  <c r="CD13" i="34"/>
  <c r="CC13" i="34"/>
  <c r="CB13" i="34"/>
  <c r="CD12" i="34"/>
  <c r="CC12" i="34"/>
  <c r="CB12" i="34"/>
  <c r="CD11" i="34"/>
  <c r="CC11" i="34"/>
  <c r="CB11" i="34"/>
  <c r="CD10" i="34"/>
  <c r="CC10" i="34"/>
  <c r="CB10" i="34"/>
  <c r="CD9" i="34"/>
  <c r="CC9" i="34"/>
  <c r="CB9" i="34"/>
  <c r="CD8" i="34"/>
  <c r="CC8" i="34"/>
  <c r="CB8" i="34"/>
  <c r="CD7" i="34"/>
  <c r="CC7" i="34"/>
  <c r="CB7" i="34"/>
  <c r="CD6" i="34"/>
  <c r="CC6" i="34"/>
  <c r="CB6" i="34"/>
  <c r="CD5" i="34"/>
  <c r="CC5" i="34"/>
  <c r="CB5" i="34"/>
  <c r="CD4" i="34"/>
  <c r="CC4" i="34"/>
  <c r="CB4" i="34"/>
  <c r="CD3" i="34"/>
  <c r="CC3" i="34"/>
  <c r="CB3" i="34"/>
  <c r="CD2" i="34"/>
  <c r="CC2" i="34"/>
  <c r="CB2" i="34"/>
  <c r="CD1" i="34"/>
  <c r="CC1" i="34"/>
  <c r="CB1" i="34"/>
  <c r="CI31" i="34"/>
  <c r="CH31" i="34"/>
  <c r="CG31" i="34"/>
  <c r="CF31" i="34"/>
  <c r="CE31" i="34"/>
  <c r="CI30" i="34"/>
  <c r="CH30" i="34"/>
  <c r="CG30" i="34"/>
  <c r="CF30" i="34"/>
  <c r="CE30" i="34"/>
  <c r="CI29" i="34"/>
  <c r="CH29" i="34"/>
  <c r="CG29" i="34"/>
  <c r="CF29" i="34"/>
  <c r="CE29" i="34"/>
  <c r="CI28" i="34"/>
  <c r="CH28" i="34"/>
  <c r="CG28" i="34"/>
  <c r="CF28" i="34"/>
  <c r="CE28" i="34"/>
  <c r="CI27" i="34"/>
  <c r="CH27" i="34"/>
  <c r="CG27" i="34"/>
  <c r="CF27" i="34"/>
  <c r="CE27" i="34"/>
  <c r="CI26" i="34"/>
  <c r="CH26" i="34"/>
  <c r="CG26" i="34"/>
  <c r="CF26" i="34"/>
  <c r="CE26" i="34"/>
  <c r="CI25" i="34"/>
  <c r="CH25" i="34"/>
  <c r="CG25" i="34"/>
  <c r="CF25" i="34"/>
  <c r="CE25" i="34"/>
  <c r="CI24" i="34"/>
  <c r="CH24" i="34"/>
  <c r="CG24" i="34"/>
  <c r="CF24" i="34"/>
  <c r="CE24" i="34"/>
  <c r="CI23" i="34"/>
  <c r="CH23" i="34"/>
  <c r="CG23" i="34"/>
  <c r="CF23" i="34"/>
  <c r="CE23" i="34"/>
  <c r="CI22" i="34"/>
  <c r="CH22" i="34"/>
  <c r="CG22" i="34"/>
  <c r="CF22" i="34"/>
  <c r="CE22" i="34"/>
  <c r="CI21" i="34"/>
  <c r="CH21" i="34"/>
  <c r="CG21" i="34"/>
  <c r="CF21" i="34"/>
  <c r="CE21" i="34"/>
  <c r="CI20" i="34"/>
  <c r="CH20" i="34"/>
  <c r="CG20" i="34"/>
  <c r="CF20" i="34"/>
  <c r="CE20" i="34"/>
  <c r="CI19" i="34"/>
  <c r="CH19" i="34"/>
  <c r="CG19" i="34"/>
  <c r="CF19" i="34"/>
  <c r="CE19" i="34"/>
  <c r="CI18" i="34"/>
  <c r="CH18" i="34"/>
  <c r="CG18" i="34"/>
  <c r="CF18" i="34"/>
  <c r="CE18" i="34"/>
  <c r="CI17" i="34"/>
  <c r="CH17" i="34"/>
  <c r="CG17" i="34"/>
  <c r="CF17" i="34"/>
  <c r="CE17" i="34"/>
  <c r="CI16" i="34"/>
  <c r="CH16" i="34"/>
  <c r="CG16" i="34"/>
  <c r="CF16" i="34"/>
  <c r="CE16" i="34"/>
  <c r="CI15" i="34"/>
  <c r="CH15" i="34"/>
  <c r="CG15" i="34"/>
  <c r="CF15" i="34"/>
  <c r="CE15" i="34"/>
  <c r="CI14" i="34"/>
  <c r="CH14" i="34"/>
  <c r="CG14" i="34"/>
  <c r="CF14" i="34"/>
  <c r="CE14" i="34"/>
  <c r="CI13" i="34"/>
  <c r="CH13" i="34"/>
  <c r="CG13" i="34"/>
  <c r="CF13" i="34"/>
  <c r="CE13" i="34"/>
  <c r="CI12" i="34"/>
  <c r="CH12" i="34"/>
  <c r="CG12" i="34"/>
  <c r="CF12" i="34"/>
  <c r="CE12" i="34"/>
  <c r="CI11" i="34"/>
  <c r="CH11" i="34"/>
  <c r="CG11" i="34"/>
  <c r="CF11" i="34"/>
  <c r="CE11" i="34"/>
  <c r="CI10" i="34"/>
  <c r="CH10" i="34"/>
  <c r="CG10" i="34"/>
  <c r="CF10" i="34"/>
  <c r="CE10" i="34"/>
  <c r="CI9" i="34"/>
  <c r="CH9" i="34"/>
  <c r="CG9" i="34"/>
  <c r="CF9" i="34"/>
  <c r="CE9" i="34"/>
  <c r="CI8" i="34"/>
  <c r="CH8" i="34"/>
  <c r="CG8" i="34"/>
  <c r="CF8" i="34"/>
  <c r="CE8" i="34"/>
  <c r="CI7" i="34"/>
  <c r="CH7" i="34"/>
  <c r="CG7" i="34"/>
  <c r="CF7" i="34"/>
  <c r="CE7" i="34"/>
  <c r="CI6" i="34"/>
  <c r="CH6" i="34"/>
  <c r="CG6" i="34"/>
  <c r="CF6" i="34"/>
  <c r="CE6" i="34"/>
  <c r="CI5" i="34"/>
  <c r="CH5" i="34"/>
  <c r="CG5" i="34"/>
  <c r="CF5" i="34"/>
  <c r="CE5" i="34"/>
  <c r="CI4" i="34"/>
  <c r="CH4" i="34"/>
  <c r="CG4" i="34"/>
  <c r="CF4" i="34"/>
  <c r="CE4" i="34"/>
  <c r="CI3" i="34"/>
  <c r="CH3" i="34"/>
  <c r="CG3" i="34"/>
  <c r="CF3" i="34"/>
  <c r="CE3" i="34"/>
  <c r="CI2" i="34"/>
  <c r="CH2" i="34"/>
  <c r="CG2" i="34"/>
  <c r="CF2" i="34"/>
  <c r="CE2" i="34"/>
  <c r="CI1" i="34"/>
  <c r="CH1" i="34"/>
  <c r="CG1" i="34"/>
  <c r="CF1" i="34"/>
  <c r="CE1" i="34"/>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88" i="29"/>
  <c r="A87" i="29"/>
  <c r="A86" i="29"/>
  <c r="A85" i="29"/>
  <c r="A84" i="29"/>
  <c r="A83" i="29"/>
  <c r="A82"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CJ31" i="34"/>
  <c r="CJ30" i="34"/>
  <c r="CJ29" i="34"/>
  <c r="CJ28" i="34"/>
  <c r="CJ27" i="34"/>
  <c r="CJ26" i="34"/>
  <c r="CJ25" i="34"/>
  <c r="CJ24" i="34"/>
  <c r="CJ23" i="34"/>
  <c r="CJ22" i="34"/>
  <c r="CJ21" i="34"/>
  <c r="CJ20" i="34"/>
  <c r="CJ19" i="34"/>
  <c r="CJ18" i="34"/>
  <c r="CJ17" i="34"/>
  <c r="CJ16" i="34"/>
  <c r="CJ15" i="34"/>
  <c r="CJ14" i="34"/>
  <c r="CJ13" i="34"/>
  <c r="CJ12" i="34"/>
  <c r="CJ11" i="34"/>
  <c r="CJ10" i="34"/>
  <c r="CJ9" i="34"/>
  <c r="CJ8" i="34"/>
  <c r="CJ7" i="34"/>
  <c r="CJ6" i="34"/>
  <c r="CJ5" i="34"/>
  <c r="CJ4" i="34"/>
  <c r="CJ3" i="34"/>
  <c r="CJ2" i="34"/>
  <c r="CJ1" i="34"/>
  <c r="CK31" i="34"/>
  <c r="CK30" i="34"/>
  <c r="BN31" i="34"/>
  <c r="BN30" i="34"/>
  <c r="BN29" i="34"/>
  <c r="BN28" i="34"/>
  <c r="BN27" i="34"/>
  <c r="BN26" i="34"/>
  <c r="BN25" i="34"/>
  <c r="BN24" i="34"/>
  <c r="BN23" i="34"/>
  <c r="BN22" i="34"/>
  <c r="BN21" i="34"/>
  <c r="BN20" i="34"/>
  <c r="BN19" i="34"/>
  <c r="BN18" i="34"/>
  <c r="BN17" i="34"/>
  <c r="BN16" i="34"/>
  <c r="BN15" i="34"/>
  <c r="BN14" i="34"/>
  <c r="BN13" i="34"/>
  <c r="BN12" i="34"/>
  <c r="BN11" i="34"/>
  <c r="BN10" i="34"/>
  <c r="BN9" i="34"/>
  <c r="BN8" i="34"/>
  <c r="BN7" i="34"/>
  <c r="BN6" i="34"/>
  <c r="BN5" i="34"/>
  <c r="BN4" i="34"/>
  <c r="BN3" i="34"/>
  <c r="BN2" i="34"/>
  <c r="BN1" i="34"/>
  <c r="AY31" i="34"/>
  <c r="AY30" i="34"/>
  <c r="AY29" i="34"/>
  <c r="AY28" i="34"/>
  <c r="AY27" i="34"/>
  <c r="AY26" i="34"/>
  <c r="AY25" i="34"/>
  <c r="AY24" i="34"/>
  <c r="AY23" i="34"/>
  <c r="AY22" i="34"/>
  <c r="AY21" i="34"/>
  <c r="AY20" i="34"/>
  <c r="AY19" i="34"/>
  <c r="AY18" i="34"/>
  <c r="AY17" i="34"/>
  <c r="AY16" i="34"/>
  <c r="AY15" i="34"/>
  <c r="AY14" i="34"/>
  <c r="AY13" i="34"/>
  <c r="AY12" i="34"/>
  <c r="AY11" i="34"/>
  <c r="AY10" i="34"/>
  <c r="AY9" i="34"/>
  <c r="AY8" i="34"/>
  <c r="AY7" i="34"/>
  <c r="AY6" i="34"/>
  <c r="AY5" i="34"/>
  <c r="AY4" i="34"/>
  <c r="AY3" i="34"/>
  <c r="AY2" i="34"/>
  <c r="AY1" i="34"/>
  <c r="AX30" i="34"/>
  <c r="AX1" i="34"/>
  <c r="AL31" i="34"/>
  <c r="AL30" i="34"/>
  <c r="AL29" i="34"/>
  <c r="AL28" i="34"/>
  <c r="AL27" i="34"/>
  <c r="AL26" i="34"/>
  <c r="AL25" i="34"/>
  <c r="AL24" i="34"/>
  <c r="AL23" i="34"/>
  <c r="AL22" i="34"/>
  <c r="AL21" i="34"/>
  <c r="AL20" i="34"/>
  <c r="AL19" i="34"/>
  <c r="AL18" i="34"/>
  <c r="AL17" i="34"/>
  <c r="AL16" i="34"/>
  <c r="AL15" i="34"/>
  <c r="AL14" i="34"/>
  <c r="AL13" i="34"/>
  <c r="AL12" i="34"/>
  <c r="AL11" i="34"/>
  <c r="AL10" i="34"/>
  <c r="AL9" i="34"/>
  <c r="AL8" i="34"/>
  <c r="AL7" i="34"/>
  <c r="AL6" i="34"/>
  <c r="AL5" i="34"/>
  <c r="AL4" i="34"/>
  <c r="AL3" i="34"/>
  <c r="AL2" i="34"/>
  <c r="AL1" i="34"/>
  <c r="B32" i="34"/>
  <c r="C32" i="34"/>
  <c r="B33" i="34"/>
  <c r="C33" i="34"/>
  <c r="B34" i="34"/>
  <c r="C34" i="34"/>
  <c r="B35" i="34"/>
  <c r="C35" i="34"/>
  <c r="B36" i="34"/>
  <c r="C36" i="34"/>
  <c r="B37" i="34"/>
  <c r="C37" i="34"/>
  <c r="B38" i="34"/>
  <c r="C38" i="34"/>
  <c r="B39" i="34"/>
  <c r="C39" i="34"/>
  <c r="B40" i="34"/>
  <c r="C40" i="34"/>
  <c r="B41" i="34"/>
  <c r="C41" i="34"/>
  <c r="B42" i="34"/>
  <c r="C42" i="34"/>
  <c r="B43" i="34"/>
  <c r="C43" i="34"/>
  <c r="B44" i="34"/>
  <c r="C44" i="34"/>
  <c r="B45" i="34"/>
  <c r="C45" i="34"/>
  <c r="B46" i="34"/>
  <c r="C46" i="34"/>
  <c r="B47" i="34"/>
  <c r="C47" i="34"/>
  <c r="B48" i="34"/>
  <c r="C48" i="34"/>
  <c r="B49" i="34"/>
  <c r="C49" i="34"/>
  <c r="B50" i="34"/>
  <c r="C50" i="34"/>
  <c r="E32" i="34"/>
  <c r="G32" i="34"/>
  <c r="H32" i="34"/>
  <c r="E33" i="34"/>
  <c r="G33" i="34"/>
  <c r="H33" i="34"/>
  <c r="E34" i="34"/>
  <c r="G34" i="34"/>
  <c r="H34" i="34"/>
  <c r="E35" i="34"/>
  <c r="G35" i="34"/>
  <c r="H35" i="34"/>
  <c r="E36" i="34"/>
  <c r="G36" i="34"/>
  <c r="H36" i="34"/>
  <c r="E37" i="34"/>
  <c r="G37" i="34"/>
  <c r="H37" i="34"/>
  <c r="E38" i="34"/>
  <c r="G38" i="34"/>
  <c r="H38" i="34"/>
  <c r="E39" i="34"/>
  <c r="G39" i="34"/>
  <c r="H39" i="34"/>
  <c r="E40" i="34"/>
  <c r="G40" i="34"/>
  <c r="H40" i="34"/>
  <c r="E41" i="34"/>
  <c r="G41" i="34"/>
  <c r="H41" i="34"/>
  <c r="E42" i="34"/>
  <c r="G42" i="34"/>
  <c r="H42" i="34"/>
  <c r="E43" i="34"/>
  <c r="G43" i="34"/>
  <c r="H43" i="34"/>
  <c r="E44" i="34"/>
  <c r="G44" i="34"/>
  <c r="H44" i="34"/>
  <c r="E45" i="34"/>
  <c r="G45" i="34"/>
  <c r="H45" i="34"/>
  <c r="E46" i="34"/>
  <c r="G46" i="34"/>
  <c r="H46" i="34"/>
  <c r="E47" i="34"/>
  <c r="G47" i="34"/>
  <c r="H47" i="34"/>
  <c r="E48" i="34"/>
  <c r="G48" i="34"/>
  <c r="H48" i="34"/>
  <c r="E49" i="34"/>
  <c r="G49" i="34"/>
  <c r="H49" i="34"/>
  <c r="E50" i="34"/>
  <c r="G50" i="34"/>
  <c r="H50" i="34"/>
  <c r="CA31" i="34"/>
  <c r="BZ31" i="34"/>
  <c r="BY31" i="34"/>
  <c r="BX31" i="34"/>
  <c r="BW31" i="34"/>
  <c r="BV31" i="34"/>
  <c r="BU31" i="34"/>
  <c r="BT31" i="34"/>
  <c r="BS31" i="34"/>
  <c r="BR31" i="34"/>
  <c r="BQ31" i="34"/>
  <c r="BP31" i="34"/>
  <c r="BO31" i="34"/>
  <c r="AK31" i="34"/>
  <c r="AJ31" i="34"/>
  <c r="AI31" i="34"/>
  <c r="AH31" i="34"/>
  <c r="AG31" i="34"/>
  <c r="AF31" i="34"/>
  <c r="AE31" i="34"/>
  <c r="AD31" i="34"/>
  <c r="AC31" i="34"/>
  <c r="AB31" i="34"/>
  <c r="AA31" i="34"/>
  <c r="P31" i="34"/>
  <c r="O31" i="34"/>
  <c r="N31" i="34"/>
  <c r="H31" i="34"/>
  <c r="G31" i="34"/>
  <c r="E31" i="34"/>
  <c r="C31" i="34"/>
  <c r="B31" i="34"/>
  <c r="CA30" i="34"/>
  <c r="BZ30" i="34"/>
  <c r="BY30" i="34"/>
  <c r="BX30" i="34"/>
  <c r="BW30" i="34"/>
  <c r="BV30" i="34"/>
  <c r="BU30" i="34"/>
  <c r="BT30" i="34"/>
  <c r="BS30" i="34"/>
  <c r="BR30" i="34"/>
  <c r="BQ30" i="34"/>
  <c r="BP30" i="34"/>
  <c r="BO30" i="34"/>
  <c r="BK30" i="34"/>
  <c r="BJ30" i="34"/>
  <c r="BI30" i="34"/>
  <c r="BH30" i="34"/>
  <c r="BG30" i="34"/>
  <c r="BF30" i="34"/>
  <c r="BE30" i="34"/>
  <c r="BD30" i="34"/>
  <c r="BC30" i="34"/>
  <c r="BB30" i="34"/>
  <c r="BA30" i="34"/>
  <c r="AZ30" i="34"/>
  <c r="AW30" i="34"/>
  <c r="AV30" i="34"/>
  <c r="AU30" i="34"/>
  <c r="AR30" i="34"/>
  <c r="AQ30" i="34"/>
  <c r="AK30" i="34"/>
  <c r="AJ30" i="34"/>
  <c r="AI30" i="34"/>
  <c r="AH30" i="34"/>
  <c r="AG30" i="34"/>
  <c r="AF30" i="34"/>
  <c r="AE30" i="34"/>
  <c r="AD30" i="34"/>
  <c r="AC30" i="34"/>
  <c r="AB30" i="34"/>
  <c r="AA30" i="34"/>
  <c r="P30" i="34"/>
  <c r="O30" i="34"/>
  <c r="N30" i="34"/>
  <c r="H30" i="34"/>
  <c r="G30" i="34"/>
  <c r="E30" i="34"/>
  <c r="C30" i="34"/>
  <c r="B30" i="34"/>
  <c r="CM29" i="34"/>
  <c r="CA29" i="34"/>
  <c r="BZ29" i="34"/>
  <c r="BY29" i="34"/>
  <c r="BW29" i="34"/>
  <c r="BV29" i="34"/>
  <c r="BU29" i="34"/>
  <c r="BT29" i="34"/>
  <c r="BS29" i="34"/>
  <c r="BR29" i="34"/>
  <c r="BP29" i="34"/>
  <c r="P29" i="34"/>
  <c r="O29" i="34"/>
  <c r="N29" i="34"/>
  <c r="H29" i="34"/>
  <c r="G29" i="34"/>
  <c r="E29" i="34"/>
  <c r="C29" i="34"/>
  <c r="B29" i="34"/>
  <c r="CM28" i="34"/>
  <c r="CA28" i="34"/>
  <c r="BZ28" i="34"/>
  <c r="BY28" i="34"/>
  <c r="BW28" i="34"/>
  <c r="BV28" i="34"/>
  <c r="BU28" i="34"/>
  <c r="BT28" i="34"/>
  <c r="BS28" i="34"/>
  <c r="BR28" i="34"/>
  <c r="BP28" i="34"/>
  <c r="R28" i="34"/>
  <c r="P28" i="34"/>
  <c r="O28" i="34"/>
  <c r="N28" i="34"/>
  <c r="H28" i="34"/>
  <c r="G28" i="34"/>
  <c r="E28" i="34"/>
  <c r="C28" i="34"/>
  <c r="B28" i="34"/>
  <c r="CM27" i="34"/>
  <c r="CA27" i="34"/>
  <c r="BZ27" i="34"/>
  <c r="BY27" i="34"/>
  <c r="BW27" i="34"/>
  <c r="BV27" i="34"/>
  <c r="BU27" i="34"/>
  <c r="BT27" i="34"/>
  <c r="BS27" i="34"/>
  <c r="BR27" i="34"/>
  <c r="BP27" i="34"/>
  <c r="R27" i="34"/>
  <c r="P27" i="34"/>
  <c r="O27" i="34"/>
  <c r="N27" i="34"/>
  <c r="H27" i="34"/>
  <c r="G27" i="34"/>
  <c r="E27" i="34"/>
  <c r="C27" i="34"/>
  <c r="B27" i="34"/>
  <c r="CM26" i="34"/>
  <c r="CA26" i="34"/>
  <c r="BZ26" i="34"/>
  <c r="BY26" i="34"/>
  <c r="BW26" i="34"/>
  <c r="BV26" i="34"/>
  <c r="BU26" i="34"/>
  <c r="BT26" i="34"/>
  <c r="BS26" i="34"/>
  <c r="BR26" i="34"/>
  <c r="BP26" i="34"/>
  <c r="R26" i="34"/>
  <c r="P26" i="34"/>
  <c r="O26" i="34"/>
  <c r="N26" i="34"/>
  <c r="H26" i="34"/>
  <c r="G26" i="34"/>
  <c r="E26" i="34"/>
  <c r="C26" i="34"/>
  <c r="B26" i="34"/>
  <c r="CM25" i="34"/>
  <c r="CA25" i="34"/>
  <c r="BZ25" i="34"/>
  <c r="BY25" i="34"/>
  <c r="BW25" i="34"/>
  <c r="BV25" i="34"/>
  <c r="BU25" i="34"/>
  <c r="BT25" i="34"/>
  <c r="BS25" i="34"/>
  <c r="BR25" i="34"/>
  <c r="BP25" i="34"/>
  <c r="R25" i="34"/>
  <c r="P25" i="34"/>
  <c r="O25" i="34"/>
  <c r="N25" i="34"/>
  <c r="H25" i="34"/>
  <c r="G25" i="34"/>
  <c r="E25" i="34"/>
  <c r="C25" i="34"/>
  <c r="B25" i="34"/>
  <c r="CM24" i="34"/>
  <c r="CA24" i="34"/>
  <c r="BZ24" i="34"/>
  <c r="BY24" i="34"/>
  <c r="BW24" i="34"/>
  <c r="BV24" i="34"/>
  <c r="BU24" i="34"/>
  <c r="BT24" i="34"/>
  <c r="BS24" i="34"/>
  <c r="BR24" i="34"/>
  <c r="BP24" i="34"/>
  <c r="R24" i="34"/>
  <c r="P24" i="34"/>
  <c r="O24" i="34"/>
  <c r="N24" i="34"/>
  <c r="H24" i="34"/>
  <c r="G24" i="34"/>
  <c r="E24" i="34"/>
  <c r="C24" i="34"/>
  <c r="B24" i="34"/>
  <c r="CM23" i="34"/>
  <c r="CA23" i="34"/>
  <c r="BZ23" i="34"/>
  <c r="BY23" i="34"/>
  <c r="BW23" i="34"/>
  <c r="BV23" i="34"/>
  <c r="BU23" i="34"/>
  <c r="BT23" i="34"/>
  <c r="BS23" i="34"/>
  <c r="BR23" i="34"/>
  <c r="BP23" i="34"/>
  <c r="R23" i="34"/>
  <c r="P23" i="34"/>
  <c r="O23" i="34"/>
  <c r="N23" i="34"/>
  <c r="H23" i="34"/>
  <c r="G23" i="34"/>
  <c r="E23" i="34"/>
  <c r="C23" i="34"/>
  <c r="B23" i="34"/>
  <c r="CM22" i="34"/>
  <c r="CA22" i="34"/>
  <c r="BZ22" i="34"/>
  <c r="BY22" i="34"/>
  <c r="BW22" i="34"/>
  <c r="BV22" i="34"/>
  <c r="BU22" i="34"/>
  <c r="BT22" i="34"/>
  <c r="BS22" i="34"/>
  <c r="BR22" i="34"/>
  <c r="BP22" i="34"/>
  <c r="R22" i="34"/>
  <c r="P22" i="34"/>
  <c r="O22" i="34"/>
  <c r="N22" i="34"/>
  <c r="H22" i="34"/>
  <c r="G22" i="34"/>
  <c r="E22" i="34"/>
  <c r="C22" i="34"/>
  <c r="B22" i="34"/>
  <c r="CM21" i="34"/>
  <c r="CA21" i="34"/>
  <c r="BZ21" i="34"/>
  <c r="BY21" i="34"/>
  <c r="BW21" i="34"/>
  <c r="BV21" i="34"/>
  <c r="BU21" i="34"/>
  <c r="BT21" i="34"/>
  <c r="BS21" i="34"/>
  <c r="BR21" i="34"/>
  <c r="BP21" i="34"/>
  <c r="R21" i="34"/>
  <c r="P21" i="34"/>
  <c r="O21" i="34"/>
  <c r="N21" i="34"/>
  <c r="H21" i="34"/>
  <c r="G21" i="34"/>
  <c r="E21" i="34"/>
  <c r="C21" i="34"/>
  <c r="B21" i="34"/>
  <c r="CM20" i="34"/>
  <c r="CA20" i="34"/>
  <c r="BZ20" i="34"/>
  <c r="BY20" i="34"/>
  <c r="BW20" i="34"/>
  <c r="BV20" i="34"/>
  <c r="BU20" i="34"/>
  <c r="BT20" i="34"/>
  <c r="BS20" i="34"/>
  <c r="BR20" i="34"/>
  <c r="BP20" i="34"/>
  <c r="R20" i="34"/>
  <c r="P20" i="34"/>
  <c r="O20" i="34"/>
  <c r="N20" i="34"/>
  <c r="H20" i="34"/>
  <c r="G20" i="34"/>
  <c r="E20" i="34"/>
  <c r="C20" i="34"/>
  <c r="B20" i="34"/>
  <c r="CM19" i="34"/>
  <c r="CA19" i="34"/>
  <c r="BZ19" i="34"/>
  <c r="BY19" i="34"/>
  <c r="BW19" i="34"/>
  <c r="BV19" i="34"/>
  <c r="BU19" i="34"/>
  <c r="BT19" i="34"/>
  <c r="BS19" i="34"/>
  <c r="BR19" i="34"/>
  <c r="BP19" i="34"/>
  <c r="R19" i="34"/>
  <c r="P19" i="34"/>
  <c r="O19" i="34"/>
  <c r="N19" i="34"/>
  <c r="H19" i="34"/>
  <c r="G19" i="34"/>
  <c r="E19" i="34"/>
  <c r="C19" i="34"/>
  <c r="B19" i="34"/>
  <c r="CM18" i="34"/>
  <c r="CA18" i="34"/>
  <c r="BZ18" i="34"/>
  <c r="BY18" i="34"/>
  <c r="BW18" i="34"/>
  <c r="BV18" i="34"/>
  <c r="BU18" i="34"/>
  <c r="BT18" i="34"/>
  <c r="BS18" i="34"/>
  <c r="BR18" i="34"/>
  <c r="BP18" i="34"/>
  <c r="R18" i="34"/>
  <c r="P18" i="34"/>
  <c r="O18" i="34"/>
  <c r="N18" i="34"/>
  <c r="H18" i="34"/>
  <c r="G18" i="34"/>
  <c r="E18" i="34"/>
  <c r="C18" i="34"/>
  <c r="B18" i="34"/>
  <c r="CM17" i="34"/>
  <c r="CA17" i="34"/>
  <c r="BZ17" i="34"/>
  <c r="BY17" i="34"/>
  <c r="BW17" i="34"/>
  <c r="BV17" i="34"/>
  <c r="BU17" i="34"/>
  <c r="BT17" i="34"/>
  <c r="BS17" i="34"/>
  <c r="BR17" i="34"/>
  <c r="BP17" i="34"/>
  <c r="R17" i="34"/>
  <c r="P17" i="34"/>
  <c r="O17" i="34"/>
  <c r="N17" i="34"/>
  <c r="H17" i="34"/>
  <c r="G17" i="34"/>
  <c r="E17" i="34"/>
  <c r="C17" i="34"/>
  <c r="B17" i="34"/>
  <c r="CM16" i="34"/>
  <c r="CA16" i="34"/>
  <c r="BZ16" i="34"/>
  <c r="BY16" i="34"/>
  <c r="BW16" i="34"/>
  <c r="BV16" i="34"/>
  <c r="BU16" i="34"/>
  <c r="BT16" i="34"/>
  <c r="BS16" i="34"/>
  <c r="BR16" i="34"/>
  <c r="BP16" i="34"/>
  <c r="R16" i="34"/>
  <c r="P16" i="34"/>
  <c r="O16" i="34"/>
  <c r="N16" i="34"/>
  <c r="H16" i="34"/>
  <c r="G16" i="34"/>
  <c r="E16" i="34"/>
  <c r="C16" i="34"/>
  <c r="B16" i="34"/>
  <c r="CM15" i="34"/>
  <c r="CA15" i="34"/>
  <c r="BZ15" i="34"/>
  <c r="BY15" i="34"/>
  <c r="BW15" i="34"/>
  <c r="BV15" i="34"/>
  <c r="BU15" i="34"/>
  <c r="BT15" i="34"/>
  <c r="BS15" i="34"/>
  <c r="BR15" i="34"/>
  <c r="BP15" i="34"/>
  <c r="R15" i="34"/>
  <c r="P15" i="34"/>
  <c r="O15" i="34"/>
  <c r="N15" i="34"/>
  <c r="H15" i="34"/>
  <c r="G15" i="34"/>
  <c r="E15" i="34"/>
  <c r="C15" i="34"/>
  <c r="B15" i="34"/>
  <c r="CM14" i="34"/>
  <c r="CA14" i="34"/>
  <c r="BZ14" i="34"/>
  <c r="BY14" i="34"/>
  <c r="BW14" i="34"/>
  <c r="BV14" i="34"/>
  <c r="BU14" i="34"/>
  <c r="BT14" i="34"/>
  <c r="BS14" i="34"/>
  <c r="BR14" i="34"/>
  <c r="BP14" i="34"/>
  <c r="R14" i="34"/>
  <c r="P14" i="34"/>
  <c r="O14" i="34"/>
  <c r="N14" i="34"/>
  <c r="H14" i="34"/>
  <c r="G14" i="34"/>
  <c r="E14" i="34"/>
  <c r="C14" i="34"/>
  <c r="B14" i="34"/>
  <c r="CM13" i="34"/>
  <c r="CA13" i="34"/>
  <c r="BZ13" i="34"/>
  <c r="BY13" i="34"/>
  <c r="BW13" i="34"/>
  <c r="BV13" i="34"/>
  <c r="BU13" i="34"/>
  <c r="BT13" i="34"/>
  <c r="BS13" i="34"/>
  <c r="BR13" i="34"/>
  <c r="BP13" i="34"/>
  <c r="R13" i="34"/>
  <c r="P13" i="34"/>
  <c r="O13" i="34"/>
  <c r="N13" i="34"/>
  <c r="H13" i="34"/>
  <c r="G13" i="34"/>
  <c r="E13" i="34"/>
  <c r="C13" i="34"/>
  <c r="B13" i="34"/>
  <c r="CM12" i="34"/>
  <c r="CA12" i="34"/>
  <c r="BZ12" i="34"/>
  <c r="BY12" i="34"/>
  <c r="BW12" i="34"/>
  <c r="BV12" i="34"/>
  <c r="BU12" i="34"/>
  <c r="BT12" i="34"/>
  <c r="BS12" i="34"/>
  <c r="BR12" i="34"/>
  <c r="BP12" i="34"/>
  <c r="R12" i="34"/>
  <c r="P12" i="34"/>
  <c r="O12" i="34"/>
  <c r="N12" i="34"/>
  <c r="H12" i="34"/>
  <c r="G12" i="34"/>
  <c r="E12" i="34"/>
  <c r="C12" i="34"/>
  <c r="B12" i="34"/>
  <c r="CM11" i="34"/>
  <c r="R11" i="34"/>
  <c r="P11" i="34"/>
  <c r="O11" i="34"/>
  <c r="N11" i="34"/>
  <c r="H11" i="34"/>
  <c r="G11" i="34"/>
  <c r="E11" i="34"/>
  <c r="C11" i="34"/>
  <c r="B11" i="34"/>
  <c r="CM10" i="34"/>
  <c r="AA10" i="34"/>
  <c r="R10" i="34"/>
  <c r="P10" i="34"/>
  <c r="O10" i="34"/>
  <c r="N10" i="34"/>
  <c r="H10" i="34"/>
  <c r="G10" i="34"/>
  <c r="E10" i="34"/>
  <c r="C10" i="34"/>
  <c r="B10" i="34"/>
  <c r="CM9" i="34"/>
  <c r="AA9" i="34"/>
  <c r="R9" i="34"/>
  <c r="P9" i="34"/>
  <c r="O9" i="34"/>
  <c r="N9" i="34"/>
  <c r="H9" i="34"/>
  <c r="G9" i="34"/>
  <c r="E9" i="34"/>
  <c r="C9" i="34"/>
  <c r="B9" i="34"/>
  <c r="CM8" i="34"/>
  <c r="AA8" i="34"/>
  <c r="R8" i="34"/>
  <c r="P8" i="34"/>
  <c r="O8" i="34"/>
  <c r="N8" i="34"/>
  <c r="H8" i="34"/>
  <c r="G8" i="34"/>
  <c r="E8" i="34"/>
  <c r="C8" i="34"/>
  <c r="B8" i="34"/>
  <c r="CM7" i="34"/>
  <c r="AA7" i="34"/>
  <c r="R7" i="34"/>
  <c r="P7" i="34"/>
  <c r="O7" i="34"/>
  <c r="N7" i="34"/>
  <c r="H7" i="34"/>
  <c r="G7" i="34"/>
  <c r="E7" i="34"/>
  <c r="C7" i="34"/>
  <c r="B7" i="34"/>
  <c r="CM6" i="34"/>
  <c r="AA6" i="34"/>
  <c r="R6" i="34"/>
  <c r="P6" i="34"/>
  <c r="O6" i="34"/>
  <c r="N6" i="34"/>
  <c r="H6" i="34"/>
  <c r="G6" i="34"/>
  <c r="E6" i="34"/>
  <c r="C6" i="34"/>
  <c r="B6" i="34"/>
  <c r="CM5" i="34"/>
  <c r="AA5" i="34"/>
  <c r="R5" i="34"/>
  <c r="P5" i="34"/>
  <c r="O5" i="34"/>
  <c r="N5" i="34"/>
  <c r="H5" i="34"/>
  <c r="G5" i="34"/>
  <c r="E5" i="34"/>
  <c r="C5" i="34"/>
  <c r="B5" i="34"/>
  <c r="CM4" i="34"/>
  <c r="AA4" i="34"/>
  <c r="R4" i="34"/>
  <c r="P4" i="34"/>
  <c r="O4" i="34"/>
  <c r="N4" i="34"/>
  <c r="H4" i="34"/>
  <c r="G4" i="34"/>
  <c r="E4" i="34"/>
  <c r="C4" i="34"/>
  <c r="B4" i="34"/>
  <c r="CM3" i="34"/>
  <c r="AA3" i="34"/>
  <c r="R3" i="34"/>
  <c r="P3" i="34"/>
  <c r="O3" i="34"/>
  <c r="N3" i="34"/>
  <c r="H3" i="34"/>
  <c r="G3" i="34"/>
  <c r="E3" i="34"/>
  <c r="C3" i="34"/>
  <c r="B3" i="34"/>
  <c r="CM2" i="34"/>
  <c r="AA2" i="34"/>
  <c r="R2" i="34"/>
  <c r="P2" i="34"/>
  <c r="O2" i="34"/>
  <c r="N2" i="34"/>
  <c r="H2" i="34"/>
  <c r="G2" i="34"/>
  <c r="E2" i="34"/>
  <c r="C2" i="34"/>
  <c r="B2" i="34"/>
  <c r="CO1" i="34"/>
  <c r="CN1" i="34"/>
  <c r="CM1" i="34"/>
  <c r="CL1" i="34"/>
  <c r="CK1" i="34"/>
  <c r="BM1" i="34"/>
  <c r="BL1" i="34"/>
  <c r="BK1" i="34"/>
  <c r="BJ1" i="34"/>
  <c r="BI1" i="34"/>
  <c r="BH1" i="34"/>
  <c r="BG1" i="34"/>
  <c r="BF1" i="34"/>
  <c r="BE1" i="34"/>
  <c r="BD1" i="34"/>
  <c r="BC1" i="34"/>
  <c r="BB1" i="34"/>
  <c r="BA1" i="34"/>
  <c r="AZ1" i="34"/>
  <c r="AW1" i="34"/>
  <c r="AV1" i="34"/>
  <c r="AU1" i="34"/>
  <c r="AT1" i="34"/>
  <c r="AS1" i="34"/>
  <c r="AR1" i="34"/>
  <c r="AQ1" i="34"/>
  <c r="AP1" i="34"/>
  <c r="AO1" i="34"/>
  <c r="AN1" i="34"/>
  <c r="AM1" i="34"/>
  <c r="AK1" i="34"/>
  <c r="AJ1" i="34"/>
  <c r="AI1" i="34"/>
  <c r="AH1" i="34"/>
  <c r="AG1" i="34"/>
  <c r="AF1" i="34"/>
  <c r="AE1" i="34"/>
  <c r="AD1" i="34"/>
  <c r="A74" i="29"/>
  <c r="A75" i="29"/>
  <c r="A76" i="29"/>
  <c r="A77" i="29"/>
  <c r="A78" i="29"/>
  <c r="A43" i="29"/>
  <c r="A44" i="29"/>
  <c r="A45" i="29"/>
  <c r="A46" i="29"/>
  <c r="A47" i="29"/>
  <c r="A48" i="29"/>
  <c r="A49" i="29"/>
  <c r="A50" i="29"/>
  <c r="A51" i="29"/>
  <c r="A52" i="29"/>
  <c r="A53" i="29"/>
  <c r="A54" i="29"/>
  <c r="A55" i="29"/>
  <c r="A56" i="29"/>
  <c r="A30" i="29"/>
  <c r="A31" i="29"/>
  <c r="A32" i="29"/>
  <c r="A33" i="29"/>
  <c r="A34" i="29"/>
  <c r="A35" i="29"/>
  <c r="A36" i="29"/>
  <c r="A37" i="29"/>
  <c r="A38" i="29"/>
  <c r="A39" i="29"/>
  <c r="A40" i="29"/>
  <c r="A41" i="29"/>
  <c r="A17" i="29"/>
  <c r="A18" i="29"/>
  <c r="A19" i="29"/>
  <c r="A20" i="29"/>
  <c r="A21" i="29"/>
  <c r="A22" i="29"/>
  <c r="A23" i="29"/>
  <c r="A24" i="29"/>
  <c r="A25" i="29"/>
  <c r="A26" i="29"/>
  <c r="A27"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B76" i="29"/>
  <c r="L60" i="29"/>
  <c r="M60" i="29"/>
  <c r="N60" i="29"/>
  <c r="O60" i="29"/>
  <c r="P60" i="29"/>
  <c r="Q60" i="29"/>
  <c r="R60" i="29"/>
  <c r="S60" i="29"/>
  <c r="T60" i="29"/>
  <c r="U60" i="29"/>
  <c r="V60" i="29"/>
  <c r="W60" i="29"/>
  <c r="X60" i="29"/>
  <c r="Y60" i="29"/>
  <c r="Z60" i="29"/>
  <c r="AA60" i="29"/>
  <c r="AB60" i="29"/>
  <c r="AC60" i="29"/>
  <c r="AD60" i="29"/>
  <c r="AE60" i="29"/>
  <c r="AD61" i="29"/>
  <c r="AE61" i="29"/>
  <c r="L62" i="29"/>
  <c r="M62" i="29"/>
  <c r="N62" i="29"/>
  <c r="O62" i="29"/>
  <c r="P62" i="29"/>
  <c r="Q62" i="29"/>
  <c r="R62" i="29"/>
  <c r="S62" i="29"/>
  <c r="T62" i="29"/>
  <c r="U62" i="29"/>
  <c r="V62" i="29"/>
  <c r="W62" i="29"/>
  <c r="X62" i="29"/>
  <c r="Y62" i="29"/>
  <c r="Z62" i="29"/>
  <c r="AA62" i="29"/>
  <c r="AB62" i="29"/>
  <c r="AC62" i="29"/>
  <c r="AD62" i="29"/>
  <c r="AE62" i="29"/>
  <c r="L63" i="29"/>
  <c r="M63" i="29"/>
  <c r="N63" i="29"/>
  <c r="O63" i="29"/>
  <c r="P63" i="29"/>
  <c r="Q63" i="29"/>
  <c r="R63" i="29"/>
  <c r="S63" i="29"/>
  <c r="T63" i="29"/>
  <c r="U63" i="29"/>
  <c r="V63" i="29"/>
  <c r="W63" i="29"/>
  <c r="X63" i="29"/>
  <c r="Y63" i="29"/>
  <c r="Z63" i="29"/>
  <c r="AA63" i="29"/>
  <c r="AB63" i="29"/>
  <c r="AC63" i="29"/>
  <c r="AD63" i="29"/>
  <c r="AE63" i="29"/>
  <c r="L64" i="29"/>
  <c r="M64" i="29"/>
  <c r="N64" i="29"/>
  <c r="O64" i="29"/>
  <c r="P64" i="29"/>
  <c r="Q64" i="29"/>
  <c r="R64" i="29"/>
  <c r="S64" i="29"/>
  <c r="T64" i="29"/>
  <c r="U64" i="29"/>
  <c r="V64" i="29"/>
  <c r="W64" i="29"/>
  <c r="X64" i="29"/>
  <c r="Y64" i="29"/>
  <c r="Z64" i="29"/>
  <c r="AA64" i="29"/>
  <c r="AB64" i="29"/>
  <c r="AC64" i="29"/>
  <c r="AD64" i="29"/>
  <c r="AE64" i="29"/>
  <c r="L65" i="29"/>
  <c r="M65" i="29"/>
  <c r="N65" i="29"/>
  <c r="O65" i="29"/>
  <c r="P65" i="29"/>
  <c r="Q65" i="29"/>
  <c r="R65" i="29"/>
  <c r="S65" i="29"/>
  <c r="T65" i="29"/>
  <c r="U65" i="29"/>
  <c r="V65" i="29"/>
  <c r="W65" i="29"/>
  <c r="X65" i="29"/>
  <c r="Y65" i="29"/>
  <c r="Z65" i="29"/>
  <c r="AA65" i="29"/>
  <c r="AB65" i="29"/>
  <c r="AC65" i="29"/>
  <c r="AD65" i="29"/>
  <c r="AE65" i="29"/>
  <c r="L66" i="29"/>
  <c r="M66" i="29"/>
  <c r="N66" i="29"/>
  <c r="O66" i="29"/>
  <c r="P66" i="29"/>
  <c r="Q66" i="29"/>
  <c r="R66" i="29"/>
  <c r="S66" i="29"/>
  <c r="T66" i="29"/>
  <c r="U66" i="29"/>
  <c r="V66" i="29"/>
  <c r="W66" i="29"/>
  <c r="X66" i="29"/>
  <c r="Y66" i="29"/>
  <c r="Z66" i="29"/>
  <c r="AA66" i="29"/>
  <c r="AB66" i="29"/>
  <c r="AC66" i="29"/>
  <c r="AD66" i="29"/>
  <c r="AE66" i="29"/>
  <c r="L67" i="29"/>
  <c r="M67" i="29"/>
  <c r="N67" i="29"/>
  <c r="O67" i="29"/>
  <c r="P67" i="29"/>
  <c r="Q67" i="29"/>
  <c r="R67" i="29"/>
  <c r="S67" i="29"/>
  <c r="T67" i="29"/>
  <c r="U67" i="29"/>
  <c r="V67" i="29"/>
  <c r="W67" i="29"/>
  <c r="X67" i="29"/>
  <c r="Y67" i="29"/>
  <c r="Z67" i="29"/>
  <c r="AA67" i="29"/>
  <c r="AB67" i="29"/>
  <c r="AC67" i="29"/>
  <c r="AD67" i="29"/>
  <c r="AE67" i="29"/>
  <c r="AD68" i="29"/>
  <c r="AE68" i="29"/>
  <c r="L69" i="29"/>
  <c r="M69" i="29"/>
  <c r="N69" i="29"/>
  <c r="O69" i="29"/>
  <c r="P69" i="29"/>
  <c r="Q69" i="29"/>
  <c r="R69" i="29"/>
  <c r="S69" i="29"/>
  <c r="T69" i="29"/>
  <c r="U69" i="29"/>
  <c r="V69" i="29"/>
  <c r="W69" i="29"/>
  <c r="X69" i="29"/>
  <c r="Y69" i="29"/>
  <c r="Z69" i="29"/>
  <c r="AA69" i="29"/>
  <c r="AB69" i="29"/>
  <c r="AC69" i="29"/>
  <c r="AD69" i="29"/>
  <c r="AE69" i="29"/>
  <c r="L70" i="29"/>
  <c r="M70" i="29"/>
  <c r="N70" i="29"/>
  <c r="O70" i="29"/>
  <c r="P70" i="29"/>
  <c r="Q70" i="29"/>
  <c r="R70" i="29"/>
  <c r="S70" i="29"/>
  <c r="T70" i="29"/>
  <c r="U70" i="29"/>
  <c r="V70" i="29"/>
  <c r="W70" i="29"/>
  <c r="X70" i="29"/>
  <c r="Y70" i="29"/>
  <c r="Z70" i="29"/>
  <c r="AA70" i="29"/>
  <c r="AB70" i="29"/>
  <c r="AC70" i="29"/>
  <c r="AD70" i="29"/>
  <c r="AE70" i="29"/>
  <c r="L71" i="29"/>
  <c r="M71" i="29"/>
  <c r="N71" i="29"/>
  <c r="O71" i="29"/>
  <c r="P71" i="29"/>
  <c r="Q71" i="29"/>
  <c r="R71" i="29"/>
  <c r="S71" i="29"/>
  <c r="T71" i="29"/>
  <c r="U71" i="29"/>
  <c r="V71" i="29"/>
  <c r="W71" i="29"/>
  <c r="X71" i="29"/>
  <c r="Y71" i="29"/>
  <c r="Z71" i="29"/>
  <c r="AA71" i="29"/>
  <c r="AB71" i="29"/>
  <c r="AC71" i="29"/>
  <c r="AD71" i="29"/>
  <c r="AE71" i="29"/>
  <c r="AD59" i="29"/>
  <c r="AE59" i="29"/>
  <c r="AD34" i="29"/>
  <c r="AD35" i="29"/>
  <c r="AD38" i="29"/>
  <c r="AD39" i="29"/>
  <c r="AD40" i="29"/>
  <c r="AD41" i="29"/>
  <c r="AD43" i="29"/>
  <c r="AD44" i="29"/>
  <c r="AD45" i="29"/>
  <c r="AD46" i="29"/>
  <c r="AD47" i="29"/>
  <c r="AD48" i="29"/>
  <c r="AD49" i="29"/>
  <c r="AD50" i="29"/>
  <c r="AD51" i="29"/>
  <c r="AD52" i="29"/>
  <c r="AD53" i="29"/>
  <c r="AD54" i="29"/>
  <c r="AD18" i="29"/>
  <c r="AE18" i="29"/>
  <c r="AD19" i="29"/>
  <c r="AE19" i="29"/>
  <c r="AD20" i="29"/>
  <c r="AE20" i="29"/>
  <c r="AD21" i="29"/>
  <c r="AE21" i="29"/>
  <c r="AD22" i="29"/>
  <c r="AE22" i="29"/>
  <c r="AD23" i="29"/>
  <c r="AE23" i="29"/>
  <c r="AD24" i="29"/>
  <c r="AE24" i="29"/>
  <c r="AD25" i="29"/>
  <c r="AE25" i="29"/>
  <c r="AD26" i="29"/>
  <c r="AE26" i="29"/>
  <c r="AD27" i="29"/>
  <c r="AE27" i="29"/>
  <c r="B17" i="29"/>
  <c r="C17" i="29"/>
  <c r="D17" i="29"/>
  <c r="E17" i="29"/>
  <c r="F17" i="29"/>
  <c r="G17" i="29"/>
  <c r="H17" i="29"/>
  <c r="I17" i="29"/>
  <c r="J17" i="29"/>
  <c r="AD17" i="29"/>
  <c r="AE17" i="29"/>
  <c r="C6" i="29"/>
  <c r="D6" i="29"/>
  <c r="E6" i="29"/>
  <c r="F6" i="29"/>
  <c r="G6" i="29"/>
  <c r="H6" i="29"/>
  <c r="I6" i="29"/>
  <c r="J6" i="29"/>
  <c r="K6" i="29"/>
  <c r="L6" i="29"/>
  <c r="M6" i="29"/>
  <c r="N6" i="29"/>
  <c r="O6" i="29"/>
  <c r="P6" i="29"/>
  <c r="Q6" i="29"/>
  <c r="R6" i="29"/>
  <c r="S6" i="29"/>
  <c r="T6" i="29"/>
  <c r="U6" i="29"/>
  <c r="V6" i="29"/>
  <c r="W6" i="29"/>
  <c r="X6" i="29"/>
  <c r="Y6" i="29"/>
  <c r="Z6" i="29"/>
  <c r="AA6" i="29"/>
  <c r="AB6" i="29"/>
  <c r="B6" i="29"/>
  <c r="C2" i="29"/>
  <c r="D2" i="29"/>
  <c r="E2" i="29"/>
  <c r="F2" i="29"/>
  <c r="G2" i="29"/>
  <c r="H2" i="29"/>
  <c r="I2" i="29"/>
  <c r="J2" i="29"/>
  <c r="K2" i="29"/>
  <c r="L2" i="29"/>
  <c r="M2" i="29"/>
  <c r="N2" i="29"/>
  <c r="O2" i="29"/>
  <c r="P2" i="29"/>
  <c r="Q2" i="29"/>
  <c r="R2" i="29"/>
  <c r="S2" i="29"/>
  <c r="T2" i="29"/>
  <c r="U2" i="29"/>
  <c r="V2" i="29"/>
  <c r="W2" i="29"/>
  <c r="X2" i="29"/>
  <c r="Y2" i="29"/>
  <c r="Z2" i="29"/>
  <c r="AA2" i="29"/>
  <c r="AB2" i="29"/>
  <c r="AC2" i="29"/>
  <c r="AD2" i="29"/>
  <c r="AE2" i="29"/>
  <c r="C3" i="29"/>
  <c r="D3" i="29"/>
  <c r="E3" i="29"/>
  <c r="F3" i="29"/>
  <c r="G3" i="29"/>
  <c r="H3" i="29"/>
  <c r="I3" i="29"/>
  <c r="J3" i="29"/>
  <c r="K3" i="29"/>
  <c r="L3" i="29"/>
  <c r="M3" i="29"/>
  <c r="N3" i="29"/>
  <c r="O3" i="29"/>
  <c r="P3" i="29"/>
  <c r="Q3" i="29"/>
  <c r="R3" i="29"/>
  <c r="S3" i="29"/>
  <c r="T3" i="29"/>
  <c r="U3" i="29"/>
  <c r="V3" i="29"/>
  <c r="W3" i="29"/>
  <c r="X3" i="29"/>
  <c r="Y3" i="29"/>
  <c r="Z3" i="29"/>
  <c r="AA3" i="29"/>
  <c r="AB3" i="29"/>
  <c r="AC3" i="29"/>
  <c r="AD3" i="29"/>
  <c r="AE3" i="29"/>
  <c r="B3" i="29"/>
  <c r="B2" i="29"/>
  <c r="B1" i="29"/>
  <c r="C1" i="29"/>
  <c r="D1" i="29"/>
  <c r="E1" i="29"/>
  <c r="F1" i="29"/>
  <c r="G1" i="29"/>
  <c r="H1" i="29"/>
  <c r="I1" i="29"/>
  <c r="J1" i="29"/>
  <c r="K1" i="29"/>
  <c r="L1" i="29"/>
  <c r="M1" i="29"/>
  <c r="N1" i="29"/>
  <c r="O1" i="29"/>
  <c r="P1" i="29"/>
  <c r="Q1" i="29"/>
  <c r="R1" i="29"/>
  <c r="S1" i="29"/>
  <c r="T1" i="29"/>
  <c r="U1" i="29"/>
  <c r="V1" i="29"/>
  <c r="W1" i="29"/>
  <c r="X1" i="29"/>
  <c r="Y1" i="29"/>
  <c r="Z1" i="29"/>
  <c r="AA1" i="29"/>
  <c r="AB1" i="29"/>
  <c r="AC1" i="29"/>
  <c r="AD1" i="29"/>
  <c r="AE1" i="29"/>
  <c r="AP31" i="34"/>
  <c r="AE33" i="29"/>
  <c r="AR31" i="34"/>
  <c r="AE35" i="29"/>
  <c r="AT31" i="34"/>
  <c r="AE37" i="29"/>
  <c r="AP30" i="34"/>
  <c r="AD33" i="29"/>
  <c r="AN30" i="34"/>
  <c r="AD31" i="29"/>
  <c r="AT30" i="34"/>
  <c r="AD37" i="29"/>
  <c r="AD32" i="29"/>
  <c r="AO30" i="34"/>
  <c r="AD30" i="29"/>
  <c r="AM30" i="34"/>
  <c r="AD36" i="29"/>
  <c r="AS30" i="34"/>
  <c r="BD31" i="34"/>
  <c r="AQ31" i="34"/>
  <c r="AE34" i="29"/>
  <c r="AN31" i="34"/>
  <c r="AE31" i="29"/>
  <c r="BL30" i="34"/>
  <c r="AD55" i="29"/>
  <c r="AO31" i="34"/>
  <c r="AE32" i="29"/>
  <c r="AS31" i="34"/>
  <c r="AE36" i="29"/>
  <c r="AV31" i="34"/>
  <c r="AM31" i="34"/>
  <c r="AE30" i="29"/>
  <c r="AE47" i="29"/>
  <c r="AZ31" i="34"/>
  <c r="AE43" i="29"/>
  <c r="BE31" i="34"/>
  <c r="AE48" i="29"/>
  <c r="BI31" i="34"/>
  <c r="AE52" i="29"/>
  <c r="F61" i="29"/>
  <c r="I61" i="29"/>
  <c r="BQ10" i="34"/>
  <c r="N61" i="29"/>
  <c r="Q61" i="29"/>
  <c r="BQ18" i="34"/>
  <c r="V61" i="29"/>
  <c r="Y61" i="29"/>
  <c r="BQ26" i="34"/>
  <c r="B61" i="29"/>
  <c r="BQ2" i="34"/>
  <c r="Z61" i="29"/>
  <c r="BQ22" i="34"/>
  <c r="R61" i="29"/>
  <c r="BQ14" i="34"/>
  <c r="J61" i="29"/>
  <c r="BQ6" i="34"/>
  <c r="BQ29" i="34"/>
  <c r="AC61" i="29"/>
  <c r="BQ25" i="34"/>
  <c r="BQ21" i="34"/>
  <c r="U61" i="29"/>
  <c r="BQ17" i="34"/>
  <c r="BQ13" i="34"/>
  <c r="M61" i="29"/>
  <c r="BQ9" i="34"/>
  <c r="BQ5" i="34"/>
  <c r="E61" i="29"/>
  <c r="V8" i="34"/>
  <c r="AB10" i="29"/>
  <c r="J12" i="29"/>
  <c r="X12" i="34"/>
  <c r="Q13" i="34"/>
  <c r="N5" i="29"/>
  <c r="Q17" i="34"/>
  <c r="R5" i="29"/>
  <c r="Q19" i="34"/>
  <c r="Q21" i="34"/>
  <c r="V5" i="29"/>
  <c r="W5" i="29"/>
  <c r="Q25" i="34"/>
  <c r="Z5" i="29"/>
  <c r="CN18" i="34"/>
  <c r="S77" i="29"/>
  <c r="CN22" i="34"/>
  <c r="W77" i="29"/>
  <c r="X22" i="34"/>
  <c r="V12" i="29"/>
  <c r="X18" i="34"/>
  <c r="R12" i="29"/>
  <c r="L12" i="29"/>
  <c r="V28" i="34"/>
  <c r="V24" i="34"/>
  <c r="X10" i="29"/>
  <c r="V11" i="34"/>
  <c r="K10" i="29"/>
  <c r="H10" i="29"/>
  <c r="V6" i="34"/>
  <c r="F10" i="29"/>
  <c r="R29" i="34"/>
  <c r="AC6" i="29"/>
  <c r="X23" i="34"/>
  <c r="W12" i="29"/>
  <c r="X19" i="34"/>
  <c r="S12" i="29"/>
  <c r="X13" i="34"/>
  <c r="M12" i="29"/>
  <c r="X5" i="34"/>
  <c r="E12" i="29"/>
  <c r="V25" i="34"/>
  <c r="Y10" i="29"/>
  <c r="V14" i="34"/>
  <c r="N10" i="29"/>
  <c r="V7" i="34"/>
  <c r="G10" i="29"/>
  <c r="V3" i="34"/>
  <c r="C10" i="29"/>
  <c r="BO29" i="34"/>
  <c r="AC59" i="29"/>
  <c r="BX29" i="34"/>
  <c r="AC68" i="29"/>
  <c r="B90" i="29"/>
  <c r="V77" i="29"/>
  <c r="R77" i="29"/>
  <c r="Y5" i="29"/>
  <c r="Q23" i="34"/>
  <c r="U5" i="29"/>
  <c r="Q5" i="29"/>
  <c r="M5" i="29"/>
  <c r="CN23" i="34"/>
  <c r="CN19" i="34"/>
  <c r="Q26" i="34"/>
  <c r="Q22" i="34"/>
  <c r="Q18" i="34"/>
  <c r="Q14" i="34"/>
  <c r="F78" i="29"/>
  <c r="AB78" i="29"/>
  <c r="AC34" i="29"/>
  <c r="AT29" i="34"/>
  <c r="AC30" i="29"/>
  <c r="AP29" i="34"/>
  <c r="AR29" i="34"/>
  <c r="AS29" i="34"/>
  <c r="AC31" i="29"/>
  <c r="AC32" i="29"/>
  <c r="AM29" i="34"/>
  <c r="BK34" i="34"/>
  <c r="BF34" i="34"/>
  <c r="AM34" i="34"/>
  <c r="AC37" i="29"/>
  <c r="AN29" i="34"/>
  <c r="AQ29" i="34"/>
  <c r="AC33" i="29"/>
  <c r="AC35" i="29"/>
  <c r="AO29" i="34"/>
  <c r="AC36" i="29"/>
  <c r="Q12" i="34"/>
  <c r="L5" i="29"/>
  <c r="F36" i="34"/>
  <c r="AC9" i="29"/>
  <c r="F34" i="34"/>
  <c r="F38" i="34"/>
  <c r="F40" i="34"/>
  <c r="F46" i="34"/>
  <c r="F48" i="34"/>
  <c r="F50" i="34"/>
  <c r="F37" i="34"/>
  <c r="F39" i="34"/>
  <c r="F43" i="34"/>
  <c r="F47" i="34"/>
  <c r="F30" i="34"/>
  <c r="F31" i="34"/>
  <c r="F26" i="34"/>
  <c r="F24" i="34"/>
  <c r="F23" i="34"/>
  <c r="F22" i="34"/>
  <c r="F21" i="34"/>
  <c r="F19" i="34"/>
  <c r="F17" i="34"/>
  <c r="F16" i="34"/>
  <c r="F15" i="34"/>
  <c r="F13" i="34"/>
  <c r="F12" i="34"/>
  <c r="F11" i="34"/>
  <c r="F9" i="34"/>
  <c r="F8" i="34"/>
  <c r="F7" i="34"/>
  <c r="F5" i="34"/>
  <c r="F4" i="34"/>
  <c r="F3" i="34"/>
  <c r="I60" i="29"/>
  <c r="BP9" i="34"/>
  <c r="I62" i="29"/>
  <c r="BR9" i="34"/>
  <c r="BR10" i="34"/>
  <c r="J62" i="29"/>
  <c r="BP10" i="34"/>
  <c r="J60" i="29"/>
  <c r="BP11" i="34"/>
  <c r="K60" i="29"/>
  <c r="BR11" i="34"/>
  <c r="K62" i="29"/>
  <c r="BR8" i="34"/>
  <c r="H62" i="29"/>
  <c r="BP8" i="34"/>
  <c r="H60" i="29"/>
  <c r="BP7" i="34"/>
  <c r="G60" i="29"/>
  <c r="BR7" i="34"/>
  <c r="G62" i="29"/>
  <c r="BR6" i="34"/>
  <c r="F62" i="29"/>
  <c r="BP6" i="34"/>
  <c r="F60" i="29"/>
  <c r="BP5" i="34"/>
  <c r="E60" i="29"/>
  <c r="BR5" i="34"/>
  <c r="E62" i="29"/>
  <c r="BR4" i="34"/>
  <c r="D62" i="29"/>
  <c r="BP4" i="34"/>
  <c r="D60" i="29"/>
  <c r="BP3" i="34"/>
  <c r="C60" i="29"/>
  <c r="BR3" i="34"/>
  <c r="C62" i="29"/>
  <c r="BR2" i="34"/>
  <c r="B62" i="29"/>
  <c r="BP2" i="34"/>
  <c r="B60" i="29"/>
  <c r="BZ2" i="34"/>
  <c r="B70" i="29"/>
  <c r="M35" i="34"/>
  <c r="U7" i="34"/>
  <c r="R9" i="29"/>
  <c r="U21" i="34"/>
  <c r="U10" i="34"/>
  <c r="U26" i="34"/>
  <c r="U23" i="34"/>
  <c r="U2" i="34"/>
  <c r="U15" i="34"/>
  <c r="U13" i="34"/>
  <c r="U16" i="34"/>
  <c r="DH2" i="34"/>
  <c r="B108" i="29"/>
  <c r="U17" i="34"/>
  <c r="Q9" i="29"/>
  <c r="U29" i="34"/>
  <c r="M41" i="34"/>
  <c r="M49" i="34"/>
  <c r="M38" i="34"/>
  <c r="M29" i="34"/>
  <c r="M25" i="34"/>
  <c r="M22" i="34"/>
  <c r="M9" i="34"/>
  <c r="M5" i="34"/>
  <c r="M16" i="34"/>
  <c r="J32" i="34"/>
  <c r="J38" i="34"/>
  <c r="J40" i="34"/>
  <c r="J42" i="34"/>
  <c r="J48" i="34"/>
  <c r="J50" i="34"/>
  <c r="J33" i="34"/>
  <c r="J37" i="34"/>
  <c r="J41" i="34"/>
  <c r="J43" i="34"/>
  <c r="J49" i="34"/>
  <c r="J31" i="34"/>
  <c r="J29" i="34"/>
  <c r="J25" i="34"/>
  <c r="J24" i="34"/>
  <c r="J26" i="34"/>
  <c r="J21" i="34"/>
  <c r="J19" i="34"/>
  <c r="J18" i="34"/>
  <c r="J15" i="34"/>
  <c r="J14" i="34"/>
  <c r="J13" i="34"/>
  <c r="J10" i="34"/>
  <c r="J9" i="34"/>
  <c r="J7" i="34"/>
  <c r="J5" i="34"/>
  <c r="J3" i="34"/>
  <c r="J2" i="34"/>
  <c r="M9" i="29"/>
  <c r="L32" i="34"/>
  <c r="L34" i="34"/>
  <c r="L36" i="34"/>
  <c r="L38" i="34"/>
  <c r="L40" i="34"/>
  <c r="L42" i="34"/>
  <c r="L44" i="34"/>
  <c r="L46" i="34"/>
  <c r="L48" i="34"/>
  <c r="L50" i="34"/>
  <c r="L33" i="34"/>
  <c r="L35" i="34"/>
  <c r="L37" i="34"/>
  <c r="L39" i="34"/>
  <c r="L41" i="34"/>
  <c r="L43" i="34"/>
  <c r="L45" i="34"/>
  <c r="L47" i="34"/>
  <c r="L49" i="34"/>
  <c r="L30" i="34"/>
  <c r="L31" i="34"/>
  <c r="L29" i="34"/>
  <c r="L28" i="34"/>
  <c r="L26" i="34"/>
  <c r="L24" i="34"/>
  <c r="L23" i="34"/>
  <c r="L27" i="34"/>
  <c r="L25" i="34"/>
  <c r="L22" i="34"/>
  <c r="L21" i="34"/>
  <c r="L20" i="34"/>
  <c r="L19" i="34"/>
  <c r="L18" i="34"/>
  <c r="L17" i="34"/>
  <c r="L16" i="34"/>
  <c r="L15" i="34"/>
  <c r="L14" i="34"/>
  <c r="L13" i="34"/>
  <c r="L12" i="34"/>
  <c r="L11" i="34"/>
  <c r="L10" i="34"/>
  <c r="L9" i="34"/>
  <c r="L8" i="34"/>
  <c r="L7" i="34"/>
  <c r="L6" i="34"/>
  <c r="L5" i="34"/>
  <c r="L4" i="34"/>
  <c r="L3" i="34"/>
  <c r="L2" i="34"/>
  <c r="V13" i="34"/>
  <c r="V19" i="34"/>
  <c r="V12" i="34"/>
  <c r="G9" i="29"/>
  <c r="Z9" i="29"/>
  <c r="J9" i="29"/>
  <c r="B9" i="29"/>
  <c r="U9" i="29"/>
  <c r="W9" i="29"/>
  <c r="P9" i="29"/>
  <c r="O9" i="29"/>
  <c r="V22" i="34"/>
  <c r="V10" i="29"/>
  <c r="L10" i="29"/>
  <c r="S10" i="29"/>
  <c r="I33" i="34"/>
  <c r="K33" i="34"/>
  <c r="K35" i="34"/>
  <c r="I37" i="34"/>
  <c r="K37" i="34"/>
  <c r="K39" i="34"/>
  <c r="I41" i="34"/>
  <c r="K41" i="34"/>
  <c r="K43" i="34"/>
  <c r="I45" i="34"/>
  <c r="K45" i="34"/>
  <c r="K47" i="34"/>
  <c r="I49" i="34"/>
  <c r="K49" i="34"/>
  <c r="I34" i="34"/>
  <c r="I36" i="34"/>
  <c r="I38" i="34"/>
  <c r="I42" i="34"/>
  <c r="I44" i="34"/>
  <c r="I46" i="34"/>
  <c r="I50" i="34"/>
  <c r="K31" i="34"/>
  <c r="I31" i="34"/>
  <c r="I29" i="34"/>
  <c r="K28" i="34"/>
  <c r="I28" i="34"/>
  <c r="I27" i="34"/>
  <c r="K26" i="34"/>
  <c r="I26" i="34"/>
  <c r="I25" i="34"/>
  <c r="K32" i="34"/>
  <c r="K34" i="34"/>
  <c r="K38" i="34"/>
  <c r="K40" i="34"/>
  <c r="K42" i="34"/>
  <c r="K46" i="34"/>
  <c r="K48" i="34"/>
  <c r="K50" i="34"/>
  <c r="I30" i="34"/>
  <c r="K24" i="34"/>
  <c r="I24" i="34"/>
  <c r="K22" i="34"/>
  <c r="I22" i="34"/>
  <c r="K21" i="34"/>
  <c r="K20" i="34"/>
  <c r="I20" i="34"/>
  <c r="K19" i="34"/>
  <c r="K18" i="34"/>
  <c r="I18" i="34"/>
  <c r="K23" i="34"/>
  <c r="K11" i="34"/>
  <c r="I11" i="34"/>
  <c r="K10" i="34"/>
  <c r="K9" i="34"/>
  <c r="I9" i="34"/>
  <c r="K8" i="34"/>
  <c r="K7" i="34"/>
  <c r="I7" i="34"/>
  <c r="K6" i="34"/>
  <c r="K5" i="34"/>
  <c r="I5" i="34"/>
  <c r="K4" i="34"/>
  <c r="K3" i="34"/>
  <c r="I3" i="34"/>
  <c r="K2" i="34"/>
  <c r="K17" i="34"/>
  <c r="K16" i="34"/>
  <c r="I16" i="34"/>
  <c r="I15" i="34"/>
  <c r="K14" i="34"/>
  <c r="I14" i="34"/>
  <c r="I13" i="34"/>
  <c r="K12" i="34"/>
  <c r="I12" i="34"/>
  <c r="V16" i="34"/>
  <c r="P10" i="29"/>
  <c r="V10" i="34"/>
  <c r="J10" i="29"/>
  <c r="V21" i="34"/>
  <c r="U10" i="29"/>
  <c r="M10" i="29"/>
  <c r="BV1" i="34"/>
  <c r="A65" i="29"/>
  <c r="BR1" i="34"/>
  <c r="A61" i="29"/>
  <c r="AA59" i="29"/>
  <c r="V59" i="29"/>
  <c r="R59" i="29"/>
  <c r="N59" i="29"/>
  <c r="J59" i="29"/>
  <c r="F59" i="29"/>
  <c r="B59" i="29"/>
  <c r="S28" i="34"/>
  <c r="S25" i="34"/>
  <c r="S7" i="29"/>
  <c r="Q7" i="29"/>
  <c r="S13" i="34"/>
  <c r="C7" i="29"/>
  <c r="E7" i="29"/>
  <c r="S17" i="34"/>
  <c r="U7" i="29"/>
  <c r="AC20" i="34"/>
  <c r="T19" i="29"/>
  <c r="AB24" i="34"/>
  <c r="X18" i="29"/>
  <c r="AB18" i="34"/>
  <c r="R18" i="29"/>
  <c r="AB22" i="34"/>
  <c r="V18" i="29"/>
  <c r="C59" i="29"/>
  <c r="BO3" i="34"/>
  <c r="G59" i="29"/>
  <c r="BO7" i="34"/>
  <c r="BO11" i="34"/>
  <c r="K59" i="29"/>
  <c r="BO15" i="34"/>
  <c r="O59" i="29"/>
  <c r="BO19" i="34"/>
  <c r="S59" i="29"/>
  <c r="BO23" i="34"/>
  <c r="W59" i="29"/>
  <c r="BO25" i="34"/>
  <c r="Y59" i="29"/>
  <c r="BO27" i="34"/>
  <c r="A60" i="29"/>
  <c r="BP1" i="34"/>
  <c r="A62" i="29"/>
  <c r="A64" i="29"/>
  <c r="BT1" i="34"/>
  <c r="A66" i="29"/>
  <c r="A70" i="29"/>
  <c r="BZ1" i="34"/>
  <c r="S7" i="34"/>
  <c r="G7" i="29"/>
  <c r="K7" i="29"/>
  <c r="S19" i="34"/>
  <c r="S4" i="34"/>
  <c r="D7" i="29"/>
  <c r="S6" i="34"/>
  <c r="F7" i="29"/>
  <c r="J11" i="29"/>
  <c r="S10" i="34"/>
  <c r="J7" i="29"/>
  <c r="S12" i="34"/>
  <c r="L7" i="29"/>
  <c r="S14" i="34"/>
  <c r="N7" i="29"/>
  <c r="S18" i="34"/>
  <c r="R7" i="29"/>
  <c r="S20" i="34"/>
  <c r="T7" i="29"/>
  <c r="S22" i="34"/>
  <c r="V7" i="29"/>
  <c r="S26" i="34"/>
  <c r="Z7" i="29"/>
  <c r="AB7" i="29"/>
  <c r="AB19" i="34"/>
  <c r="S18" i="29"/>
  <c r="AB21" i="34"/>
  <c r="AB23" i="34"/>
  <c r="W18" i="29"/>
  <c r="BO2" i="34"/>
  <c r="BO4" i="34"/>
  <c r="D59" i="29"/>
  <c r="BO6" i="34"/>
  <c r="BO8" i="34"/>
  <c r="H59" i="29"/>
  <c r="BO12" i="34"/>
  <c r="L59" i="29"/>
  <c r="BO14" i="34"/>
  <c r="BO16" i="34"/>
  <c r="P59" i="29"/>
  <c r="BO18" i="34"/>
  <c r="BO20" i="34"/>
  <c r="T59" i="29"/>
  <c r="BO22" i="34"/>
  <c r="BO24" i="34"/>
  <c r="X59" i="29"/>
  <c r="BO28" i="34"/>
  <c r="AB59" i="29"/>
  <c r="BS1" i="34"/>
  <c r="A63" i="29"/>
  <c r="BU1" i="34"/>
  <c r="BY1" i="34"/>
  <c r="A69" i="29"/>
  <c r="CA1" i="34"/>
  <c r="A71" i="29"/>
  <c r="BX1" i="34"/>
  <c r="A68" i="29"/>
  <c r="BW1" i="34"/>
  <c r="A67" i="29"/>
  <c r="BX12" i="34"/>
  <c r="L68" i="29"/>
  <c r="BX14" i="34"/>
  <c r="N68" i="29"/>
  <c r="BX16" i="34"/>
  <c r="P68" i="29"/>
  <c r="BX18" i="34"/>
  <c r="R68" i="29"/>
  <c r="BX20" i="34"/>
  <c r="T68" i="29"/>
  <c r="BX22" i="34"/>
  <c r="V68" i="29"/>
  <c r="BX24" i="34"/>
  <c r="X68" i="29"/>
  <c r="BX26" i="34"/>
  <c r="Z68" i="29"/>
  <c r="BX28" i="34"/>
  <c r="AB68" i="29"/>
  <c r="BX13" i="34"/>
  <c r="M68" i="29"/>
  <c r="BX15" i="34"/>
  <c r="O68" i="29"/>
  <c r="BX17" i="34"/>
  <c r="Q68" i="29"/>
  <c r="BX19" i="34"/>
  <c r="S68" i="29"/>
  <c r="BX21" i="34"/>
  <c r="U68" i="29"/>
  <c r="BX23" i="34"/>
  <c r="W68" i="29"/>
  <c r="BX25" i="34"/>
  <c r="Y68" i="29"/>
  <c r="BX27" i="34"/>
  <c r="AA68" i="29"/>
  <c r="I70" i="29"/>
  <c r="BZ9" i="34"/>
  <c r="CA9" i="34"/>
  <c r="I71" i="29"/>
  <c r="BS9" i="34"/>
  <c r="I63" i="29"/>
  <c r="I64" i="29"/>
  <c r="BT9" i="34"/>
  <c r="BU9" i="34"/>
  <c r="I65" i="29"/>
  <c r="I66" i="29"/>
  <c r="BV9" i="34"/>
  <c r="BW9" i="34"/>
  <c r="I67" i="29"/>
  <c r="I68" i="29"/>
  <c r="BX9" i="34"/>
  <c r="BY9" i="34"/>
  <c r="I69" i="29"/>
  <c r="BS10" i="34"/>
  <c r="J63" i="29"/>
  <c r="BT10" i="34"/>
  <c r="J64" i="29"/>
  <c r="BU10" i="34"/>
  <c r="J65" i="29"/>
  <c r="BV10" i="34"/>
  <c r="J66" i="29"/>
  <c r="BW10" i="34"/>
  <c r="J67" i="29"/>
  <c r="BX10" i="34"/>
  <c r="J68" i="29"/>
  <c r="BY10" i="34"/>
  <c r="J69" i="29"/>
  <c r="BZ10" i="34"/>
  <c r="J70" i="29"/>
  <c r="CA10" i="34"/>
  <c r="J71" i="29"/>
  <c r="BZ11" i="34"/>
  <c r="K70" i="29"/>
  <c r="K71" i="29"/>
  <c r="CA11" i="34"/>
  <c r="K63" i="29"/>
  <c r="BS11" i="34"/>
  <c r="BT11" i="34"/>
  <c r="K64" i="29"/>
  <c r="K65" i="29"/>
  <c r="BU11" i="34"/>
  <c r="BV11" i="34"/>
  <c r="K66" i="29"/>
  <c r="K67" i="29"/>
  <c r="BW11" i="34"/>
  <c r="BX11" i="34"/>
  <c r="K68" i="29"/>
  <c r="K69" i="29"/>
  <c r="BY11" i="34"/>
  <c r="BS8" i="34"/>
  <c r="H63" i="29"/>
  <c r="BT8" i="34"/>
  <c r="H64" i="29"/>
  <c r="BU8" i="34"/>
  <c r="H65" i="29"/>
  <c r="BV8" i="34"/>
  <c r="H66" i="29"/>
  <c r="BW8" i="34"/>
  <c r="H67" i="29"/>
  <c r="BX8" i="34"/>
  <c r="H68" i="29"/>
  <c r="BY8" i="34"/>
  <c r="H69" i="29"/>
  <c r="BZ8" i="34"/>
  <c r="H70" i="29"/>
  <c r="CA8" i="34"/>
  <c r="H71" i="29"/>
  <c r="BZ7" i="34"/>
  <c r="G70" i="29"/>
  <c r="G71" i="29"/>
  <c r="CA7" i="34"/>
  <c r="G63" i="29"/>
  <c r="BS7" i="34"/>
  <c r="BT7" i="34"/>
  <c r="G64" i="29"/>
  <c r="G65" i="29"/>
  <c r="BU7" i="34"/>
  <c r="BV7" i="34"/>
  <c r="G66" i="29"/>
  <c r="G67" i="29"/>
  <c r="BW7" i="34"/>
  <c r="BX7" i="34"/>
  <c r="G68" i="29"/>
  <c r="G69" i="29"/>
  <c r="BY7" i="34"/>
  <c r="BS6" i="34"/>
  <c r="F63" i="29"/>
  <c r="BT6" i="34"/>
  <c r="F64" i="29"/>
  <c r="BU6" i="34"/>
  <c r="F65" i="29"/>
  <c r="BV6" i="34"/>
  <c r="F66" i="29"/>
  <c r="BW6" i="34"/>
  <c r="F67" i="29"/>
  <c r="BX6" i="34"/>
  <c r="F68" i="29"/>
  <c r="BY6" i="34"/>
  <c r="F69" i="29"/>
  <c r="BZ6" i="34"/>
  <c r="F70" i="29"/>
  <c r="CA6" i="34"/>
  <c r="F71" i="29"/>
  <c r="BZ5" i="34"/>
  <c r="E70" i="29"/>
  <c r="E71" i="29"/>
  <c r="CA5" i="34"/>
  <c r="E63" i="29"/>
  <c r="BS5" i="34"/>
  <c r="BT5" i="34"/>
  <c r="E64" i="29"/>
  <c r="E65" i="29"/>
  <c r="BU5" i="34"/>
  <c r="BV5" i="34"/>
  <c r="E66" i="29"/>
  <c r="E67" i="29"/>
  <c r="BW5" i="34"/>
  <c r="BX5" i="34"/>
  <c r="E68" i="29"/>
  <c r="E69" i="29"/>
  <c r="BY5" i="34"/>
  <c r="BS4" i="34"/>
  <c r="D63" i="29"/>
  <c r="BT4" i="34"/>
  <c r="D64" i="29"/>
  <c r="BU4" i="34"/>
  <c r="D65" i="29"/>
  <c r="BV4" i="34"/>
  <c r="D66" i="29"/>
  <c r="BW4" i="34"/>
  <c r="D67" i="29"/>
  <c r="BX4" i="34"/>
  <c r="D68" i="29"/>
  <c r="BY4" i="34"/>
  <c r="D69" i="29"/>
  <c r="BZ4" i="34"/>
  <c r="D70" i="29"/>
  <c r="CA4" i="34"/>
  <c r="D71" i="29"/>
  <c r="BZ3" i="34"/>
  <c r="C70" i="29"/>
  <c r="C71" i="29"/>
  <c r="CA3" i="34"/>
  <c r="C63" i="29"/>
  <c r="BS3" i="34"/>
  <c r="BT3" i="34"/>
  <c r="C64" i="29"/>
  <c r="C65" i="29"/>
  <c r="BU3" i="34"/>
  <c r="BV3" i="34"/>
  <c r="C66" i="29"/>
  <c r="C67" i="29"/>
  <c r="BW3" i="34"/>
  <c r="BX3" i="34"/>
  <c r="C68" i="29"/>
  <c r="C69" i="29"/>
  <c r="BY3" i="34"/>
  <c r="BS2" i="34"/>
  <c r="B63" i="29"/>
  <c r="BT2" i="34"/>
  <c r="B64" i="29"/>
  <c r="BU2" i="34"/>
  <c r="B65" i="29"/>
  <c r="BV2" i="34"/>
  <c r="B66" i="29"/>
  <c r="BW2" i="34"/>
  <c r="B67" i="29"/>
  <c r="BX2" i="34"/>
  <c r="B68" i="29"/>
  <c r="BY2" i="34"/>
  <c r="B69" i="29"/>
  <c r="CA2" i="34"/>
  <c r="B71" i="29"/>
  <c r="Q54" i="29"/>
  <c r="Q38" i="29"/>
  <c r="S52" i="29"/>
  <c r="S47" i="29"/>
  <c r="BK21" i="34"/>
  <c r="BD24" i="34"/>
  <c r="BI24" i="34"/>
  <c r="BC18" i="34"/>
  <c r="BI18" i="34"/>
  <c r="BK18" i="34"/>
  <c r="V38" i="29"/>
  <c r="AE20" i="34"/>
  <c r="T26" i="29"/>
  <c r="AD20" i="34"/>
  <c r="V26" i="29"/>
  <c r="AD22" i="34"/>
  <c r="AG18" i="34"/>
  <c r="R21" i="29"/>
  <c r="AF18" i="34"/>
  <c r="AA24" i="34"/>
  <c r="AA23" i="34"/>
  <c r="K8" i="29"/>
  <c r="U8" i="29"/>
  <c r="T18" i="34"/>
  <c r="BI8" i="34"/>
  <c r="L31" i="29"/>
  <c r="AO12" i="34"/>
  <c r="L30" i="29"/>
  <c r="H32" i="29"/>
  <c r="AP8" i="34"/>
  <c r="AP16" i="34"/>
  <c r="H37" i="29"/>
  <c r="BH8" i="34"/>
  <c r="AM16" i="34"/>
  <c r="AS16" i="34"/>
  <c r="AT16" i="34"/>
  <c r="L36" i="29"/>
  <c r="AT12" i="34"/>
  <c r="AN16" i="34"/>
  <c r="AQ16" i="34"/>
  <c r="AR16" i="34"/>
  <c r="AQ12" i="34"/>
  <c r="AP12" i="34"/>
  <c r="B158" i="29"/>
  <c r="FF2" i="34"/>
  <c r="B156" i="29"/>
  <c r="FD2" i="34"/>
  <c r="BA35" i="34"/>
  <c r="B154" i="29"/>
  <c r="FB2" i="34"/>
  <c r="AA35" i="34"/>
  <c r="FH2" i="34"/>
  <c r="B160" i="29"/>
  <c r="AE35" i="34"/>
  <c r="Z19" i="29"/>
  <c r="AC12" i="34"/>
  <c r="AC4" i="34"/>
  <c r="D19" i="29"/>
  <c r="T25" i="34"/>
  <c r="Y8" i="29"/>
  <c r="T21" i="34"/>
  <c r="T17" i="34"/>
  <c r="Q8" i="29"/>
  <c r="T13" i="34"/>
  <c r="T9" i="34"/>
  <c r="I8" i="29"/>
  <c r="AA22" i="34"/>
  <c r="V17" i="29"/>
  <c r="AD18" i="34"/>
  <c r="R20" i="29"/>
  <c r="AE18" i="34"/>
  <c r="AB2" i="34"/>
  <c r="B18" i="29"/>
  <c r="AJ20" i="34"/>
  <c r="AQ22" i="34"/>
  <c r="V34" i="29"/>
  <c r="AM22" i="34"/>
  <c r="V30" i="29"/>
  <c r="AT22" i="34"/>
  <c r="V37" i="29"/>
  <c r="AP22" i="34"/>
  <c r="V33" i="29"/>
  <c r="BK22" i="34"/>
  <c r="V54" i="29"/>
  <c r="BC22" i="34"/>
  <c r="V46" i="29"/>
  <c r="BF22" i="34"/>
  <c r="V49" i="29"/>
  <c r="AQ20" i="34"/>
  <c r="T34" i="29"/>
  <c r="AM20" i="34"/>
  <c r="T30" i="29"/>
  <c r="AT20" i="34"/>
  <c r="T37" i="29"/>
  <c r="AP20" i="34"/>
  <c r="T33" i="29"/>
  <c r="B164" i="29"/>
  <c r="AU18" i="34"/>
  <c r="R38" i="29"/>
  <c r="AQ18" i="34"/>
  <c r="R34" i="29"/>
  <c r="AM18" i="34"/>
  <c r="R30" i="29"/>
  <c r="AR18" i="34"/>
  <c r="R35" i="29"/>
  <c r="AN18" i="34"/>
  <c r="R31" i="29"/>
  <c r="BG18" i="34"/>
  <c r="R50" i="29"/>
  <c r="R46" i="29"/>
  <c r="BJ18" i="34"/>
  <c r="R53" i="29"/>
  <c r="BB18" i="34"/>
  <c r="R45" i="29"/>
  <c r="AQ28" i="34"/>
  <c r="AB34" i="29"/>
  <c r="AM28" i="34"/>
  <c r="AB30" i="29"/>
  <c r="AT28" i="34"/>
  <c r="AB37" i="29"/>
  <c r="AP28" i="34"/>
  <c r="AB33" i="29"/>
  <c r="AQ26" i="34"/>
  <c r="Z34" i="29"/>
  <c r="AM26" i="34"/>
  <c r="Z30" i="29"/>
  <c r="AT26" i="34"/>
  <c r="Z37" i="29"/>
  <c r="AP26" i="34"/>
  <c r="Z33" i="29"/>
  <c r="AU24" i="34"/>
  <c r="X38" i="29"/>
  <c r="AQ24" i="34"/>
  <c r="X34" i="29"/>
  <c r="AM24" i="34"/>
  <c r="X30" i="29"/>
  <c r="AT24" i="34"/>
  <c r="X37" i="29"/>
  <c r="AP24" i="34"/>
  <c r="X33" i="29"/>
  <c r="BG24" i="34"/>
  <c r="X50" i="29"/>
  <c r="BJ24" i="34"/>
  <c r="X53" i="29"/>
  <c r="BB24" i="34"/>
  <c r="X45" i="29"/>
  <c r="P30" i="29"/>
  <c r="N34" i="29"/>
  <c r="AQ14" i="34"/>
  <c r="AM14" i="34"/>
  <c r="N30" i="29"/>
  <c r="AR14" i="34"/>
  <c r="N35" i="29"/>
  <c r="AN14" i="34"/>
  <c r="N31" i="29"/>
  <c r="L34" i="29"/>
  <c r="AR12" i="34"/>
  <c r="L35" i="29"/>
  <c r="AN12" i="34"/>
  <c r="AV23" i="34"/>
  <c r="W39" i="29"/>
  <c r="AR23" i="34"/>
  <c r="W35" i="29"/>
  <c r="AN23" i="34"/>
  <c r="W31" i="29"/>
  <c r="AS23" i="34"/>
  <c r="W36" i="29"/>
  <c r="AO23" i="34"/>
  <c r="W32" i="29"/>
  <c r="BF23" i="34"/>
  <c r="W49" i="29"/>
  <c r="BK23" i="34"/>
  <c r="W54" i="29"/>
  <c r="BC23" i="34"/>
  <c r="W46" i="29"/>
  <c r="U39" i="29"/>
  <c r="AR21" i="34"/>
  <c r="U35" i="29"/>
  <c r="AN21" i="34"/>
  <c r="U31" i="29"/>
  <c r="AS21" i="34"/>
  <c r="U36" i="29"/>
  <c r="AO21" i="34"/>
  <c r="U32" i="29"/>
  <c r="U54" i="29"/>
  <c r="AX19" i="34"/>
  <c r="AV19" i="34"/>
  <c r="S39" i="29"/>
  <c r="AR19" i="34"/>
  <c r="S35" i="29"/>
  <c r="AN19" i="34"/>
  <c r="S31" i="29"/>
  <c r="AS19" i="34"/>
  <c r="S36" i="29"/>
  <c r="AO19" i="34"/>
  <c r="S32" i="29"/>
  <c r="BJ19" i="34"/>
  <c r="S53" i="29"/>
  <c r="BF19" i="34"/>
  <c r="S49" i="29"/>
  <c r="BB19" i="34"/>
  <c r="S45" i="29"/>
  <c r="BK19" i="34"/>
  <c r="S54" i="29"/>
  <c r="BG19" i="34"/>
  <c r="S50" i="29"/>
  <c r="BC19" i="34"/>
  <c r="S46" i="29"/>
  <c r="AT17" i="34"/>
  <c r="Q37" i="29"/>
  <c r="AP17" i="34"/>
  <c r="Q33" i="29"/>
  <c r="AW17" i="34"/>
  <c r="AU17" i="34"/>
  <c r="AQ17" i="34"/>
  <c r="Q34" i="29"/>
  <c r="AM17" i="34"/>
  <c r="Q30" i="29"/>
  <c r="BK17" i="34"/>
  <c r="X11" i="29"/>
  <c r="H11" i="29"/>
  <c r="T8" i="29"/>
  <c r="Z8" i="29"/>
  <c r="T22" i="34"/>
  <c r="V8" i="29"/>
  <c r="R8" i="29"/>
  <c r="T14" i="34"/>
  <c r="N8" i="29"/>
  <c r="T10" i="34"/>
  <c r="T6" i="34"/>
  <c r="F8" i="29"/>
  <c r="J19" i="29"/>
  <c r="F19" i="29"/>
  <c r="AB25" i="34"/>
  <c r="Y18" i="29"/>
  <c r="T27" i="34"/>
  <c r="AA8" i="29"/>
  <c r="AA19" i="34"/>
  <c r="S17" i="29"/>
  <c r="AC3" i="34"/>
  <c r="C19" i="29"/>
  <c r="AS22" i="34"/>
  <c r="V36" i="29"/>
  <c r="AO22" i="34"/>
  <c r="V32" i="29"/>
  <c r="AV22" i="34"/>
  <c r="V39" i="29"/>
  <c r="AR22" i="34"/>
  <c r="V35" i="29"/>
  <c r="AN22" i="34"/>
  <c r="V31" i="29"/>
  <c r="BE22" i="34"/>
  <c r="V48" i="29"/>
  <c r="BH22" i="34"/>
  <c r="V51" i="29"/>
  <c r="AZ22" i="34"/>
  <c r="V43" i="29"/>
  <c r="AS20" i="34"/>
  <c r="T36" i="29"/>
  <c r="AO20" i="34"/>
  <c r="T32" i="29"/>
  <c r="AR20" i="34"/>
  <c r="T35" i="29"/>
  <c r="AN20" i="34"/>
  <c r="T31" i="29"/>
  <c r="AS18" i="34"/>
  <c r="R36" i="29"/>
  <c r="AO18" i="34"/>
  <c r="R32" i="29"/>
  <c r="AT18" i="34"/>
  <c r="R37" i="29"/>
  <c r="AP18" i="34"/>
  <c r="R33" i="29"/>
  <c r="C165" i="29"/>
  <c r="AV18" i="34"/>
  <c r="R39" i="29"/>
  <c r="R52" i="29"/>
  <c r="BE18" i="34"/>
  <c r="R48" i="29"/>
  <c r="BD18" i="34"/>
  <c r="R47" i="29"/>
  <c r="AS28" i="34"/>
  <c r="AB36" i="29"/>
  <c r="AO28" i="34"/>
  <c r="AB32" i="29"/>
  <c r="AR28" i="34"/>
  <c r="AB35" i="29"/>
  <c r="AN28" i="34"/>
  <c r="AB31" i="29"/>
  <c r="AS26" i="34"/>
  <c r="Z36" i="29"/>
  <c r="AO26" i="34"/>
  <c r="Z32" i="29"/>
  <c r="AR26" i="34"/>
  <c r="Z35" i="29"/>
  <c r="AN26" i="34"/>
  <c r="Z31" i="29"/>
  <c r="AS24" i="34"/>
  <c r="X36" i="29"/>
  <c r="AO24" i="34"/>
  <c r="X32" i="29"/>
  <c r="X41" i="29"/>
  <c r="AV24" i="34"/>
  <c r="X39" i="29"/>
  <c r="AR24" i="34"/>
  <c r="X35" i="29"/>
  <c r="AN24" i="34"/>
  <c r="X31" i="29"/>
  <c r="BE24" i="34"/>
  <c r="X48" i="29"/>
  <c r="X44" i="29"/>
  <c r="BH24" i="34"/>
  <c r="X51" i="29"/>
  <c r="X47" i="29"/>
  <c r="AZ24" i="34"/>
  <c r="X43" i="29"/>
  <c r="P32" i="29"/>
  <c r="AO16" i="34"/>
  <c r="AS14" i="34"/>
  <c r="N36" i="29"/>
  <c r="N32" i="29"/>
  <c r="AO14" i="34"/>
  <c r="AT14" i="34"/>
  <c r="N37" i="29"/>
  <c r="AP14" i="34"/>
  <c r="N33" i="29"/>
  <c r="L32" i="29"/>
  <c r="L37" i="29"/>
  <c r="AT23" i="34"/>
  <c r="W37" i="29"/>
  <c r="AP23" i="34"/>
  <c r="W33" i="29"/>
  <c r="W38" i="29"/>
  <c r="AQ23" i="34"/>
  <c r="W34" i="29"/>
  <c r="AM23" i="34"/>
  <c r="W30" i="29"/>
  <c r="BH23" i="34"/>
  <c r="W51" i="29"/>
  <c r="AZ23" i="34"/>
  <c r="W43" i="29"/>
  <c r="BE23" i="34"/>
  <c r="W48" i="29"/>
  <c r="W44" i="29"/>
  <c r="AT21" i="34"/>
  <c r="U37" i="29"/>
  <c r="AP21" i="34"/>
  <c r="U33" i="29"/>
  <c r="AQ21" i="34"/>
  <c r="U34" i="29"/>
  <c r="AM21" i="34"/>
  <c r="U30" i="29"/>
  <c r="BH21" i="34"/>
  <c r="U51" i="29"/>
  <c r="AZ21" i="34"/>
  <c r="BE21" i="34"/>
  <c r="U48" i="29"/>
  <c r="AT19" i="34"/>
  <c r="S37" i="29"/>
  <c r="AP19" i="34"/>
  <c r="S33" i="29"/>
  <c r="AQ19" i="34"/>
  <c r="S34" i="29"/>
  <c r="AM19" i="34"/>
  <c r="S30" i="29"/>
  <c r="BH19" i="34"/>
  <c r="S51" i="29"/>
  <c r="BD19" i="34"/>
  <c r="AZ19" i="34"/>
  <c r="S43" i="29"/>
  <c r="BI19" i="34"/>
  <c r="BE19" i="34"/>
  <c r="S48" i="29"/>
  <c r="AR17" i="34"/>
  <c r="Q35" i="29"/>
  <c r="AN17" i="34"/>
  <c r="Q31" i="29"/>
  <c r="AS17" i="34"/>
  <c r="Q36" i="29"/>
  <c r="AO17" i="34"/>
  <c r="Q32" i="29"/>
  <c r="J13" i="29"/>
  <c r="W10" i="34"/>
  <c r="AS10" i="34"/>
  <c r="J36" i="29"/>
  <c r="AO10" i="34"/>
  <c r="J32" i="29"/>
  <c r="AT10" i="34"/>
  <c r="J37" i="29"/>
  <c r="AP10" i="34"/>
  <c r="J33" i="29"/>
  <c r="AQ10" i="34"/>
  <c r="J34" i="29"/>
  <c r="AM10" i="34"/>
  <c r="J30" i="29"/>
  <c r="AR10" i="34"/>
  <c r="J35" i="29"/>
  <c r="AN10" i="34"/>
  <c r="J31" i="29"/>
  <c r="AQ8" i="34"/>
  <c r="H34" i="29"/>
  <c r="AM8" i="34"/>
  <c r="H30" i="29"/>
  <c r="AR8" i="34"/>
  <c r="H35" i="29"/>
  <c r="AN8" i="34"/>
  <c r="H31" i="29"/>
  <c r="AS8" i="34"/>
  <c r="H36" i="29"/>
  <c r="AB7" i="34"/>
  <c r="AS6" i="34"/>
  <c r="F36" i="29"/>
  <c r="AO6" i="34"/>
  <c r="F32" i="29"/>
  <c r="AT6" i="34"/>
  <c r="F37" i="29"/>
  <c r="AP6" i="34"/>
  <c r="F33" i="29"/>
  <c r="AQ6" i="34"/>
  <c r="F34" i="29"/>
  <c r="AM6" i="34"/>
  <c r="F30" i="29"/>
  <c r="AR6" i="34"/>
  <c r="F35" i="29"/>
  <c r="AN6" i="34"/>
  <c r="F31" i="29"/>
  <c r="E18" i="29"/>
  <c r="AQ4" i="34"/>
  <c r="D34" i="29"/>
  <c r="AM4" i="34"/>
  <c r="D30" i="29"/>
  <c r="AT4" i="34"/>
  <c r="D37" i="29"/>
  <c r="AP4" i="34"/>
  <c r="D33" i="29"/>
  <c r="AS4" i="34"/>
  <c r="D36" i="29"/>
  <c r="AO4" i="34"/>
  <c r="D32" i="29"/>
  <c r="AR4" i="34"/>
  <c r="D35" i="29"/>
  <c r="AN4" i="34"/>
  <c r="D31" i="29"/>
  <c r="Y48" i="29"/>
  <c r="Y43" i="29"/>
  <c r="Y51" i="29"/>
  <c r="BI5" i="34"/>
  <c r="BJ5" i="34"/>
  <c r="S55" i="29"/>
  <c r="AA52" i="29"/>
  <c r="AA38" i="29"/>
  <c r="AX15" i="34"/>
  <c r="O38" i="29"/>
  <c r="G46" i="29"/>
  <c r="BG3" i="34"/>
  <c r="C52" i="29"/>
  <c r="B49" i="29"/>
  <c r="AS35" i="34"/>
  <c r="B38" i="29"/>
  <c r="AA12" i="29"/>
  <c r="AK26" i="34"/>
  <c r="AK12" i="34"/>
  <c r="AH12" i="34"/>
  <c r="D27" i="29"/>
  <c r="AH4" i="34"/>
  <c r="C22" i="29"/>
  <c r="C25" i="29"/>
  <c r="C21" i="29"/>
  <c r="AB22" i="29"/>
  <c r="AD28" i="34"/>
  <c r="X22" i="29"/>
  <c r="X20" i="29"/>
  <c r="N22" i="29"/>
  <c r="J22" i="29"/>
  <c r="F22" i="29"/>
  <c r="F20" i="29"/>
  <c r="B20" i="29"/>
  <c r="AA25" i="34"/>
  <c r="AS12" i="34"/>
  <c r="AT8" i="34"/>
  <c r="P37" i="29"/>
  <c r="P34" i="29"/>
  <c r="AO8" i="34"/>
  <c r="AM12" i="34"/>
  <c r="AD35" i="34"/>
  <c r="P31" i="29"/>
  <c r="P33" i="29"/>
  <c r="H33" i="29"/>
  <c r="P36" i="29"/>
  <c r="P35" i="29"/>
  <c r="L33" i="29"/>
  <c r="FL2" i="34"/>
  <c r="C157" i="29"/>
  <c r="FE3" i="34"/>
  <c r="FG3" i="34"/>
  <c r="C159" i="29"/>
  <c r="FC3" i="34"/>
  <c r="C155" i="29"/>
  <c r="FC2" i="34"/>
  <c r="B155" i="29"/>
  <c r="FE2" i="34"/>
  <c r="B157" i="29"/>
  <c r="C163" i="29"/>
  <c r="FK3" i="34"/>
  <c r="FI3" i="34"/>
  <c r="C161" i="29"/>
  <c r="FI2" i="34"/>
  <c r="B161" i="29"/>
  <c r="FG2" i="34"/>
  <c r="B159" i="29"/>
  <c r="AE10" i="34"/>
  <c r="J21" i="29"/>
  <c r="AE14" i="34"/>
  <c r="N21" i="29"/>
  <c r="AE24" i="34"/>
  <c r="X21" i="29"/>
  <c r="AE28" i="34"/>
  <c r="AB21" i="29"/>
  <c r="AJ4" i="34"/>
  <c r="D26" i="29"/>
  <c r="L24" i="29"/>
  <c r="AQ2" i="34"/>
  <c r="B34" i="29"/>
  <c r="AW2" i="34"/>
  <c r="AU2" i="34"/>
  <c r="AN2" i="34"/>
  <c r="B31" i="29"/>
  <c r="AT2" i="34"/>
  <c r="B37" i="29"/>
  <c r="AP2" i="34"/>
  <c r="B33" i="29"/>
  <c r="B50" i="29"/>
  <c r="BF2" i="34"/>
  <c r="AR15" i="34"/>
  <c r="O35" i="29"/>
  <c r="AN15" i="34"/>
  <c r="O31" i="29"/>
  <c r="AS15" i="34"/>
  <c r="O36" i="29"/>
  <c r="AO15" i="34"/>
  <c r="O32" i="29"/>
  <c r="AV15" i="34"/>
  <c r="O39" i="29"/>
  <c r="AT27" i="34"/>
  <c r="AA37" i="29"/>
  <c r="AP27" i="34"/>
  <c r="AA33" i="29"/>
  <c r="AQ27" i="34"/>
  <c r="AA34" i="29"/>
  <c r="AM27" i="34"/>
  <c r="AA30" i="29"/>
  <c r="BI27" i="34"/>
  <c r="AR13" i="34"/>
  <c r="M35" i="29"/>
  <c r="AN13" i="34"/>
  <c r="M31" i="29"/>
  <c r="AS13" i="34"/>
  <c r="M36" i="29"/>
  <c r="AO13" i="34"/>
  <c r="M32" i="29"/>
  <c r="AT25" i="34"/>
  <c r="Y37" i="29"/>
  <c r="AP25" i="34"/>
  <c r="Y33" i="29"/>
  <c r="AU25" i="34"/>
  <c r="Y38" i="29"/>
  <c r="AQ25" i="34"/>
  <c r="Y34" i="29"/>
  <c r="AM25" i="34"/>
  <c r="Y30" i="29"/>
  <c r="BD25" i="34"/>
  <c r="Y47" i="29"/>
  <c r="AZ25" i="34"/>
  <c r="BI25" i="34"/>
  <c r="Y52" i="29"/>
  <c r="BE25" i="34"/>
  <c r="BA25" i="34"/>
  <c r="Y44" i="29"/>
  <c r="Y10" i="34"/>
  <c r="AX24" i="34"/>
  <c r="X14" i="34"/>
  <c r="N12" i="29"/>
  <c r="Q40" i="29"/>
  <c r="AW18" i="34"/>
  <c r="R40" i="29"/>
  <c r="X9" i="34"/>
  <c r="I12" i="29"/>
  <c r="AD6" i="34"/>
  <c r="C23" i="29"/>
  <c r="AD3" i="34"/>
  <c r="C20" i="29"/>
  <c r="Y17" i="29"/>
  <c r="AF6" i="34"/>
  <c r="AG10" i="34"/>
  <c r="J23" i="29"/>
  <c r="AF14" i="34"/>
  <c r="AG14" i="34"/>
  <c r="N23" i="29"/>
  <c r="AF24" i="34"/>
  <c r="AG24" i="34"/>
  <c r="X23" i="29"/>
  <c r="AE3" i="34"/>
  <c r="AK3" i="34"/>
  <c r="C27" i="29"/>
  <c r="AF3" i="34"/>
  <c r="AJ3" i="34"/>
  <c r="C26" i="29"/>
  <c r="AG4" i="34"/>
  <c r="AD4" i="34"/>
  <c r="D20" i="29"/>
  <c r="AE4" i="34"/>
  <c r="D21" i="29"/>
  <c r="AK8" i="34"/>
  <c r="H27" i="29"/>
  <c r="L27" i="29"/>
  <c r="Z27" i="29"/>
  <c r="X27" i="34"/>
  <c r="AM2" i="34"/>
  <c r="B30" i="29"/>
  <c r="AS2" i="34"/>
  <c r="B36" i="29"/>
  <c r="AO2" i="34"/>
  <c r="B32" i="29"/>
  <c r="AR2" i="34"/>
  <c r="B35" i="29"/>
  <c r="BA2" i="34"/>
  <c r="B44" i="29"/>
  <c r="BI2" i="34"/>
  <c r="BH2" i="34"/>
  <c r="B51" i="29"/>
  <c r="AT15" i="34"/>
  <c r="O37" i="29"/>
  <c r="AP15" i="34"/>
  <c r="O33" i="29"/>
  <c r="AU15" i="34"/>
  <c r="AQ15" i="34"/>
  <c r="O34" i="29"/>
  <c r="AM15" i="34"/>
  <c r="O30" i="29"/>
  <c r="AR27" i="34"/>
  <c r="AA35" i="29"/>
  <c r="AN27" i="34"/>
  <c r="AA31" i="29"/>
  <c r="AS27" i="34"/>
  <c r="AA36" i="29"/>
  <c r="AO27" i="34"/>
  <c r="AA32" i="29"/>
  <c r="AT13" i="34"/>
  <c r="M37" i="29"/>
  <c r="AP13" i="34"/>
  <c r="M33" i="29"/>
  <c r="AQ13" i="34"/>
  <c r="M34" i="29"/>
  <c r="AM13" i="34"/>
  <c r="M30" i="29"/>
  <c r="AX25" i="34"/>
  <c r="AR25" i="34"/>
  <c r="Y35" i="29"/>
  <c r="AN25" i="34"/>
  <c r="Y31" i="29"/>
  <c r="AS25" i="34"/>
  <c r="Y36" i="29"/>
  <c r="AO25" i="34"/>
  <c r="Y32" i="29"/>
  <c r="BJ25" i="34"/>
  <c r="Y53" i="29"/>
  <c r="BB25" i="34"/>
  <c r="Y45" i="29"/>
  <c r="BG25" i="34"/>
  <c r="Y50" i="29"/>
  <c r="R41" i="29"/>
  <c r="AX22" i="34"/>
  <c r="V41" i="29"/>
  <c r="X6" i="34"/>
  <c r="F12" i="29"/>
  <c r="AX23" i="34"/>
  <c r="W41" i="29"/>
  <c r="AW24" i="34"/>
  <c r="X40" i="29"/>
  <c r="X25" i="34"/>
  <c r="Y12" i="29"/>
  <c r="AT9" i="34"/>
  <c r="I37" i="29"/>
  <c r="AP9" i="34"/>
  <c r="I33" i="29"/>
  <c r="AQ9" i="34"/>
  <c r="I34" i="29"/>
  <c r="I30" i="29"/>
  <c r="AM9" i="34"/>
  <c r="AR9" i="34"/>
  <c r="I35" i="29"/>
  <c r="AN9" i="34"/>
  <c r="I31" i="29"/>
  <c r="AS9" i="34"/>
  <c r="I36" i="29"/>
  <c r="AO9" i="34"/>
  <c r="I32" i="29"/>
  <c r="AR11" i="34"/>
  <c r="K35" i="29"/>
  <c r="AN11" i="34"/>
  <c r="K31" i="29"/>
  <c r="AS11" i="34"/>
  <c r="K36" i="29"/>
  <c r="AO11" i="34"/>
  <c r="K32" i="29"/>
  <c r="AT11" i="34"/>
  <c r="K37" i="29"/>
  <c r="AP11" i="34"/>
  <c r="K33" i="29"/>
  <c r="AQ11" i="34"/>
  <c r="K34" i="29"/>
  <c r="AM11" i="34"/>
  <c r="K30" i="29"/>
  <c r="AT7" i="34"/>
  <c r="G37" i="29"/>
  <c r="AP7" i="34"/>
  <c r="G33" i="29"/>
  <c r="AQ7" i="34"/>
  <c r="G34" i="29"/>
  <c r="AM7" i="34"/>
  <c r="G30" i="29"/>
  <c r="BC7" i="34"/>
  <c r="AR7" i="34"/>
  <c r="G35" i="29"/>
  <c r="AN7" i="34"/>
  <c r="G31" i="29"/>
  <c r="AS7" i="34"/>
  <c r="G36" i="29"/>
  <c r="AO7" i="34"/>
  <c r="G32" i="29"/>
  <c r="AR5" i="34"/>
  <c r="E35" i="29"/>
  <c r="AN5" i="34"/>
  <c r="E31" i="29"/>
  <c r="AS5" i="34"/>
  <c r="E36" i="29"/>
  <c r="AO5" i="34"/>
  <c r="E32" i="29"/>
  <c r="E39" i="29"/>
  <c r="E52" i="29"/>
  <c r="AT5" i="34"/>
  <c r="E37" i="29"/>
  <c r="AP5" i="34"/>
  <c r="E33" i="29"/>
  <c r="AQ5" i="34"/>
  <c r="E34" i="29"/>
  <c r="AM5" i="34"/>
  <c r="E30" i="29"/>
  <c r="E53" i="29"/>
  <c r="AR3" i="34"/>
  <c r="C35" i="29"/>
  <c r="AN3" i="34"/>
  <c r="C31" i="29"/>
  <c r="AS3" i="34"/>
  <c r="C36" i="29"/>
  <c r="AO3" i="34"/>
  <c r="C32" i="29"/>
  <c r="AT3" i="34"/>
  <c r="C37" i="29"/>
  <c r="AP3" i="34"/>
  <c r="C33" i="29"/>
  <c r="AU3" i="34"/>
  <c r="AQ3" i="34"/>
  <c r="C34" i="29"/>
  <c r="AM3" i="34"/>
  <c r="C30" i="29"/>
  <c r="BI3" i="34"/>
  <c r="AC35" i="34"/>
  <c r="AB35" i="34"/>
  <c r="BL25" i="34"/>
  <c r="BM25" i="34"/>
  <c r="FM3" i="34"/>
  <c r="FM2" i="34"/>
  <c r="B165" i="29"/>
  <c r="AT35" i="34"/>
  <c r="Y41" i="29"/>
  <c r="O41" i="29"/>
  <c r="Y55" i="29"/>
  <c r="AG3" i="34"/>
  <c r="AW25" i="34"/>
  <c r="Y40" i="29"/>
  <c r="B40" i="29"/>
  <c r="BH35" i="34"/>
  <c r="BK35" i="34"/>
  <c r="AA36" i="34"/>
  <c r="BL35" i="34"/>
  <c r="AC36" i="34"/>
  <c r="AE36" i="34"/>
  <c r="BH36" i="34"/>
  <c r="B101" i="42"/>
  <c r="J95" i="42" s="1"/>
  <c r="C98" i="42"/>
  <c r="J94" i="42"/>
  <c r="W65" i="42"/>
  <c r="T60" i="42"/>
  <c r="B162" i="42" s="1"/>
  <c r="D162" i="42" s="1"/>
  <c r="T61" i="42"/>
  <c r="C163" i="42" s="1"/>
  <c r="D163" i="42" s="1"/>
  <c r="F56" i="42"/>
  <c r="F54" i="42"/>
  <c r="F64" i="42"/>
  <c r="F58" i="42"/>
  <c r="F59" i="42"/>
  <c r="S59" i="42"/>
  <c r="S57" i="42"/>
  <c r="I36" i="42"/>
  <c r="I34" i="42" s="1"/>
  <c r="I37" i="42" s="1"/>
  <c r="Y35" i="42"/>
  <c r="G35" i="42"/>
  <c r="G59" i="42" s="1"/>
  <c r="U36" i="42"/>
  <c r="U34" i="42" s="1"/>
  <c r="U37" i="42" s="1"/>
  <c r="M65" i="44"/>
  <c r="M60" i="44"/>
  <c r="M59" i="44"/>
  <c r="M56" i="44"/>
  <c r="M55" i="44"/>
  <c r="M61" i="44"/>
  <c r="M58" i="44"/>
  <c r="M54" i="44"/>
  <c r="O57" i="44"/>
  <c r="C35" i="42"/>
  <c r="C49" i="42" s="1"/>
  <c r="C51" i="42" s="1"/>
  <c r="Y36" i="42"/>
  <c r="Y34" i="42" s="1"/>
  <c r="Y37" i="42" s="1"/>
  <c r="P35" i="42"/>
  <c r="P63" i="42" s="1"/>
  <c r="I35" i="42"/>
  <c r="I61" i="42" s="1"/>
  <c r="M35" i="42"/>
  <c r="M65" i="42" s="1"/>
  <c r="P51" i="29"/>
  <c r="BH16" i="34"/>
  <c r="AH3" i="34"/>
  <c r="C24" i="29"/>
  <c r="AI26" i="34"/>
  <c r="Z25" i="29"/>
  <c r="BA11" i="34"/>
  <c r="K44" i="29"/>
  <c r="P39" i="29"/>
  <c r="BF4" i="34"/>
  <c r="D49" i="29"/>
  <c r="BC20" i="34"/>
  <c r="T46" i="29"/>
  <c r="BJ23" i="34"/>
  <c r="W53" i="29"/>
  <c r="AV21" i="34"/>
  <c r="D24" i="29"/>
  <c r="AB20" i="29"/>
  <c r="Z19" i="34"/>
  <c r="S14" i="29"/>
  <c r="V20" i="29"/>
  <c r="AB11" i="34"/>
  <c r="AA18" i="34"/>
  <c r="R17" i="29"/>
  <c r="BJ22" i="34"/>
  <c r="V53" i="29"/>
  <c r="AZ20" i="34"/>
  <c r="T43" i="29"/>
  <c r="BK24" i="34"/>
  <c r="X54" i="29"/>
  <c r="BC24" i="34"/>
  <c r="X46" i="29"/>
  <c r="BE8" i="34"/>
  <c r="H48" i="29"/>
  <c r="D18" i="29"/>
  <c r="AB4" i="34"/>
  <c r="D23" i="29"/>
  <c r="C50" i="29"/>
  <c r="AK4" i="34"/>
  <c r="AD24" i="34"/>
  <c r="AI3" i="34"/>
  <c r="AI16" i="34"/>
  <c r="P25" i="29"/>
  <c r="AW3" i="34"/>
  <c r="C40" i="29"/>
  <c r="BE2" i="34"/>
  <c r="B48" i="29"/>
  <c r="X17" i="29"/>
  <c r="AJ22" i="34"/>
  <c r="AC8" i="34"/>
  <c r="H19" i="29"/>
  <c r="AK36" i="34"/>
  <c r="AI2" i="34"/>
  <c r="T19" i="34"/>
  <c r="S8" i="29"/>
  <c r="S38" i="29"/>
  <c r="AU19" i="34"/>
  <c r="W8" i="34"/>
  <c r="AC22" i="34"/>
  <c r="C18" i="29"/>
  <c r="AB3" i="34"/>
  <c r="AB20" i="34"/>
  <c r="T18" i="29"/>
  <c r="E59" i="29"/>
  <c r="BO5" i="34"/>
  <c r="I59" i="29"/>
  <c r="BO9" i="34"/>
  <c r="BO13" i="34"/>
  <c r="M59" i="29"/>
  <c r="BO21" i="34"/>
  <c r="U59" i="29"/>
  <c r="Z59" i="29"/>
  <c r="BO26" i="34"/>
  <c r="U11" i="34"/>
  <c r="K9" i="29"/>
  <c r="U12" i="34"/>
  <c r="L9" i="29"/>
  <c r="AD10" i="34"/>
  <c r="J20" i="29"/>
  <c r="AD14" i="34"/>
  <c r="N20" i="29"/>
  <c r="AI12" i="34"/>
  <c r="L25" i="29"/>
  <c r="BE7" i="34"/>
  <c r="G48" i="29"/>
  <c r="AV5" i="34"/>
  <c r="AA17" i="34"/>
  <c r="Q17" i="29"/>
  <c r="BH18" i="34"/>
  <c r="R51" i="29"/>
  <c r="BB23" i="34"/>
  <c r="W45" i="29"/>
  <c r="BG23" i="34"/>
  <c r="W50" i="29"/>
  <c r="Q49" i="29"/>
  <c r="BF17" i="34"/>
  <c r="BF16" i="34"/>
  <c r="AB16" i="34"/>
  <c r="P18" i="29"/>
  <c r="BL19" i="34"/>
  <c r="AU27" i="34"/>
  <c r="Z20" i="34"/>
  <c r="T14" i="29"/>
  <c r="AI8" i="34"/>
  <c r="H25" i="29"/>
  <c r="BJ27" i="34"/>
  <c r="AA53" i="29"/>
  <c r="H52" i="29"/>
  <c r="D54" i="29"/>
  <c r="BK4" i="34"/>
  <c r="AU22" i="34"/>
  <c r="BG22" i="34"/>
  <c r="BB22" i="34"/>
  <c r="V45" i="29"/>
  <c r="BF18" i="34"/>
  <c r="R49" i="29"/>
  <c r="FN2" i="34"/>
  <c r="BF24" i="34"/>
  <c r="X49" i="29"/>
  <c r="AZ17" i="34"/>
  <c r="Q43" i="29"/>
  <c r="S41" i="29"/>
  <c r="AX18" i="34"/>
  <c r="AF10" i="34"/>
  <c r="AD2" i="34"/>
  <c r="BG2" i="34"/>
  <c r="G51" i="29"/>
  <c r="BH7" i="34"/>
  <c r="K18" i="29"/>
  <c r="AB8" i="29"/>
  <c r="AC16" i="34"/>
  <c r="P19" i="29"/>
  <c r="AB5" i="34"/>
  <c r="B162" i="29"/>
  <c r="FJ2" i="34"/>
  <c r="BA18" i="34"/>
  <c r="U43" i="29"/>
  <c r="S44" i="29"/>
  <c r="BA19" i="34"/>
  <c r="W16" i="34"/>
  <c r="P11" i="29"/>
  <c r="AC26" i="34"/>
  <c r="G18" i="29"/>
  <c r="BO1" i="34"/>
  <c r="A59" i="29"/>
  <c r="BO17" i="34"/>
  <c r="Q59" i="29"/>
  <c r="B7" i="29"/>
  <c r="S2" i="34"/>
  <c r="N9" i="29"/>
  <c r="U14" i="34"/>
  <c r="T9" i="29"/>
  <c r="U20" i="34"/>
  <c r="Y56" i="29"/>
  <c r="C38" i="29"/>
  <c r="B52" i="29"/>
  <c r="AF28" i="34"/>
  <c r="BH25" i="34"/>
  <c r="H51" i="29"/>
  <c r="BB35" i="34"/>
  <c r="AF4" i="34"/>
  <c r="D22" i="29"/>
  <c r="AI4" i="34"/>
  <c r="D25" i="29"/>
  <c r="AZ2" i="34"/>
  <c r="B43" i="29"/>
  <c r="BG27" i="34"/>
  <c r="AA50" i="29"/>
  <c r="AV25" i="34"/>
  <c r="Y39" i="29"/>
  <c r="BF25" i="34"/>
  <c r="Y49" i="29"/>
  <c r="BK25" i="34"/>
  <c r="Y54" i="29"/>
  <c r="BC25" i="34"/>
  <c r="Y46" i="29"/>
  <c r="AV16" i="34"/>
  <c r="R44" i="29"/>
  <c r="T20" i="29"/>
  <c r="R22" i="29"/>
  <c r="T11" i="34"/>
  <c r="T28" i="34"/>
  <c r="R54" i="29"/>
  <c r="V50" i="29"/>
  <c r="B166" i="29"/>
  <c r="T26" i="34"/>
  <c r="T4" i="34"/>
  <c r="D8" i="29"/>
  <c r="AC6" i="34"/>
  <c r="AU23" i="34"/>
  <c r="BD23" i="34"/>
  <c r="W47" i="29"/>
  <c r="BI23" i="34"/>
  <c r="W52" i="29"/>
  <c r="BA23" i="34"/>
  <c r="Q46" i="29"/>
  <c r="BC17" i="34"/>
  <c r="BQ1" i="34"/>
  <c r="W24" i="34"/>
  <c r="W3" i="34"/>
  <c r="C11" i="29"/>
  <c r="Y11" i="29"/>
  <c r="W25" i="34"/>
  <c r="AB8" i="34"/>
  <c r="H18" i="29"/>
  <c r="U24" i="34"/>
  <c r="X9" i="29"/>
  <c r="Y9" i="29"/>
  <c r="U25" i="34"/>
  <c r="F9" i="29"/>
  <c r="U6" i="34"/>
  <c r="L8" i="29"/>
  <c r="Z14" i="34"/>
  <c r="T5" i="34"/>
  <c r="E8" i="29"/>
  <c r="AZ18" i="34"/>
  <c r="R43" i="29"/>
  <c r="BA24" i="34"/>
  <c r="S11" i="34"/>
  <c r="S15" i="34"/>
  <c r="O7" i="29"/>
  <c r="S23" i="34"/>
  <c r="W7" i="29"/>
  <c r="S27" i="34"/>
  <c r="AA7" i="29"/>
  <c r="Q18" i="29"/>
  <c r="U18" i="29"/>
  <c r="X52" i="29"/>
  <c r="T21" i="29"/>
  <c r="R23" i="29"/>
  <c r="W17" i="29"/>
  <c r="T12" i="34"/>
  <c r="L19" i="29"/>
  <c r="T20" i="34"/>
  <c r="J8" i="29"/>
  <c r="X19" i="29"/>
  <c r="AC24" i="34"/>
  <c r="M8" i="29"/>
  <c r="BI22" i="34"/>
  <c r="V52" i="29"/>
  <c r="BA22" i="34"/>
  <c r="V44" i="29"/>
  <c r="BD22" i="34"/>
  <c r="V47" i="29"/>
  <c r="BO10" i="34"/>
  <c r="AB17" i="34"/>
  <c r="S3" i="34"/>
  <c r="S8" i="34"/>
  <c r="H7" i="29"/>
  <c r="S16" i="34"/>
  <c r="P7" i="29"/>
  <c r="S24" i="34"/>
  <c r="X7" i="29"/>
  <c r="AC10" i="34"/>
  <c r="AI14" i="34"/>
  <c r="AC18" i="34"/>
  <c r="V20" i="34"/>
  <c r="T10" i="29"/>
  <c r="J36" i="34"/>
  <c r="J44" i="34"/>
  <c r="J30" i="34"/>
  <c r="J39" i="34"/>
  <c r="J47" i="34"/>
  <c r="J28" i="34"/>
  <c r="J23" i="34"/>
  <c r="J20" i="34"/>
  <c r="J16" i="34"/>
  <c r="J12" i="34"/>
  <c r="J8" i="34"/>
  <c r="J4" i="34"/>
  <c r="J34" i="34"/>
  <c r="J46" i="34"/>
  <c r="J35" i="34"/>
  <c r="J45" i="34"/>
  <c r="J27" i="34"/>
  <c r="J22" i="34"/>
  <c r="J17" i="34"/>
  <c r="J11" i="34"/>
  <c r="J6" i="34"/>
  <c r="I35" i="34"/>
  <c r="I39" i="34"/>
  <c r="I43" i="34"/>
  <c r="I47" i="34"/>
  <c r="I32" i="34"/>
  <c r="I40" i="34"/>
  <c r="I48" i="34"/>
  <c r="K29" i="34"/>
  <c r="K27" i="34"/>
  <c r="K25" i="34"/>
  <c r="K36" i="34"/>
  <c r="K44" i="34"/>
  <c r="K30" i="34"/>
  <c r="I23" i="34"/>
  <c r="I21" i="34"/>
  <c r="I19" i="34"/>
  <c r="I17" i="34"/>
  <c r="I10" i="34"/>
  <c r="I8" i="34"/>
  <c r="I6" i="34"/>
  <c r="I4" i="34"/>
  <c r="I2" i="34"/>
  <c r="K15" i="34"/>
  <c r="K13" i="34"/>
  <c r="U8" i="34"/>
  <c r="H9" i="29"/>
  <c r="U3" i="34"/>
  <c r="C9" i="29"/>
  <c r="CO28" i="34"/>
  <c r="CN21" i="34"/>
  <c r="U77" i="29"/>
  <c r="Q28" i="34"/>
  <c r="AB5" i="29"/>
  <c r="Q24" i="34"/>
  <c r="X5" i="29"/>
  <c r="Q20" i="34"/>
  <c r="T5" i="29"/>
  <c r="Q16" i="34"/>
  <c r="P5" i="29"/>
  <c r="V2" i="34"/>
  <c r="B10" i="29"/>
  <c r="X21" i="34"/>
  <c r="U12" i="29"/>
  <c r="X17" i="34"/>
  <c r="Q12" i="29"/>
  <c r="X11" i="34"/>
  <c r="K12" i="29"/>
  <c r="V27" i="34"/>
  <c r="AA10" i="29"/>
  <c r="V17" i="34"/>
  <c r="Q10" i="29"/>
  <c r="V9" i="34"/>
  <c r="I10" i="29"/>
  <c r="V5" i="34"/>
  <c r="E10" i="29"/>
  <c r="V29" i="34"/>
  <c r="AC10" i="29"/>
  <c r="BM30" i="34"/>
  <c r="AD56" i="29"/>
  <c r="BA31" i="34"/>
  <c r="AE44" i="29"/>
  <c r="BH31" i="34"/>
  <c r="AE51" i="29"/>
  <c r="Y52" i="42"/>
  <c r="R35" i="42"/>
  <c r="R65" i="42" s="1"/>
  <c r="H36" i="42"/>
  <c r="H34" i="42" s="1"/>
  <c r="H37" i="42" s="1"/>
  <c r="H35" i="42"/>
  <c r="H60" i="42" s="1"/>
  <c r="CO13" i="34"/>
  <c r="M12" i="34"/>
  <c r="M18" i="34"/>
  <c r="M46" i="34"/>
  <c r="M33" i="34"/>
  <c r="F2" i="34"/>
  <c r="F6" i="34"/>
  <c r="F10" i="34"/>
  <c r="F14" i="34"/>
  <c r="F18" i="34"/>
  <c r="F25" i="34"/>
  <c r="F29" i="34"/>
  <c r="F45" i="34"/>
  <c r="F35" i="34"/>
  <c r="F42" i="34"/>
  <c r="F32" i="34"/>
  <c r="S5" i="29"/>
  <c r="X10" i="34"/>
  <c r="Y67" i="42"/>
  <c r="M62" i="44"/>
  <c r="M63" i="44"/>
  <c r="M50" i="44"/>
  <c r="M52" i="44" s="1"/>
  <c r="M49" i="44"/>
  <c r="M51" i="44" s="1"/>
  <c r="AC52" i="44"/>
  <c r="AY35" i="34"/>
  <c r="E19" i="29"/>
  <c r="AC5" i="34"/>
  <c r="M19" i="29"/>
  <c r="AC13" i="34"/>
  <c r="Q19" i="29"/>
  <c r="AC17" i="34"/>
  <c r="AC28" i="34"/>
  <c r="AB19" i="29"/>
  <c r="AB27" i="34"/>
  <c r="AA18" i="29"/>
  <c r="N18" i="29"/>
  <c r="AB14" i="34"/>
  <c r="AC23" i="34"/>
  <c r="W19" i="29"/>
  <c r="AC27" i="34"/>
  <c r="AA19" i="29"/>
  <c r="N25" i="29"/>
  <c r="N14" i="29"/>
  <c r="M18" i="29"/>
  <c r="B19" i="29"/>
  <c r="AC7" i="34"/>
  <c r="G19" i="29"/>
  <c r="AC11" i="34"/>
  <c r="K19" i="29"/>
  <c r="AC15" i="34"/>
  <c r="O19" i="29"/>
  <c r="U19" i="29"/>
  <c r="AC21" i="34"/>
  <c r="Z18" i="29"/>
  <c r="EP2" i="34"/>
  <c r="B142" i="29"/>
  <c r="AC2" i="34"/>
  <c r="AC14" i="34"/>
  <c r="N19" i="29"/>
  <c r="AB15" i="34"/>
  <c r="O18" i="29"/>
  <c r="AB12" i="34"/>
  <c r="L18" i="29"/>
  <c r="AC19" i="34"/>
  <c r="S19" i="29"/>
  <c r="Y19" i="29"/>
  <c r="AC25" i="34"/>
  <c r="AB18" i="29"/>
  <c r="AB28" i="34"/>
  <c r="F18" i="29"/>
  <c r="J18" i="29"/>
  <c r="V19" i="29"/>
  <c r="R19" i="29"/>
  <c r="S21" i="34"/>
  <c r="I7" i="29"/>
  <c r="S5" i="34"/>
  <c r="CK23" i="34"/>
  <c r="W74" i="29"/>
  <c r="Y7" i="29"/>
  <c r="M7" i="29"/>
  <c r="S9" i="34"/>
  <c r="B11" i="29"/>
  <c r="M13" i="34"/>
  <c r="M2" i="34"/>
  <c r="M6" i="34"/>
  <c r="M10" i="34"/>
  <c r="M19" i="34"/>
  <c r="M23" i="34"/>
  <c r="M26" i="34"/>
  <c r="M31" i="34"/>
  <c r="M44" i="34"/>
  <c r="M36" i="34"/>
  <c r="M47" i="34"/>
  <c r="M39" i="34"/>
  <c r="U18" i="34"/>
  <c r="CO6" i="34"/>
  <c r="AE38" i="29"/>
  <c r="AU31" i="34"/>
  <c r="BC31" i="34"/>
  <c r="AE46" i="29"/>
  <c r="BK31" i="34"/>
  <c r="AE54" i="29"/>
  <c r="BG31" i="34"/>
  <c r="AE50" i="29"/>
  <c r="M14" i="34"/>
  <c r="M3" i="34"/>
  <c r="M7" i="34"/>
  <c r="M11" i="34"/>
  <c r="M20" i="34"/>
  <c r="M24" i="34"/>
  <c r="M27" i="34"/>
  <c r="M50" i="34"/>
  <c r="M42" i="34"/>
  <c r="M34" i="34"/>
  <c r="M45" i="34"/>
  <c r="M37" i="34"/>
  <c r="CP2" i="34"/>
  <c r="CN20" i="34"/>
  <c r="T77" i="29"/>
  <c r="AA5" i="29"/>
  <c r="Q27" i="34"/>
  <c r="Q15" i="34"/>
  <c r="O5" i="29"/>
  <c r="X12" i="29"/>
  <c r="X24" i="34"/>
  <c r="T12" i="29"/>
  <c r="X20" i="34"/>
  <c r="P12" i="29"/>
  <c r="X16" i="34"/>
  <c r="Z10" i="29"/>
  <c r="V26" i="34"/>
  <c r="V15" i="34"/>
  <c r="O10" i="29"/>
  <c r="V4" i="34"/>
  <c r="D10" i="29"/>
  <c r="M15" i="34"/>
  <c r="M4" i="34"/>
  <c r="M8" i="34"/>
  <c r="M17" i="34"/>
  <c r="M21" i="34"/>
  <c r="M30" i="34"/>
  <c r="M28" i="34"/>
  <c r="M48" i="34"/>
  <c r="M40" i="34"/>
  <c r="M32" i="34"/>
  <c r="M43" i="34"/>
  <c r="F20" i="34"/>
  <c r="F27" i="34"/>
  <c r="F28" i="34"/>
  <c r="F49" i="34"/>
  <c r="F41" i="34"/>
  <c r="F33" i="34"/>
  <c r="F44" i="34"/>
  <c r="BQ27" i="34"/>
  <c r="AA61" i="29"/>
  <c r="BQ23" i="34"/>
  <c r="W61" i="29"/>
  <c r="BQ19" i="34"/>
  <c r="S61" i="29"/>
  <c r="BQ15" i="34"/>
  <c r="O61" i="29"/>
  <c r="BQ11" i="34"/>
  <c r="K61" i="29"/>
  <c r="BQ7" i="34"/>
  <c r="G61" i="29"/>
  <c r="BQ3" i="34"/>
  <c r="C61" i="29"/>
  <c r="BL31" i="34"/>
  <c r="AE55" i="29"/>
  <c r="AX31" i="34"/>
  <c r="AE41" i="29"/>
  <c r="BB31" i="34"/>
  <c r="AE45" i="29"/>
  <c r="BJ31" i="34"/>
  <c r="AE53" i="29"/>
  <c r="BF31" i="34"/>
  <c r="AE49" i="29"/>
  <c r="BQ28" i="34"/>
  <c r="AB61" i="29"/>
  <c r="BQ24" i="34"/>
  <c r="X61" i="29"/>
  <c r="BQ20" i="34"/>
  <c r="T61" i="29"/>
  <c r="BQ16" i="34"/>
  <c r="P61" i="29"/>
  <c r="BQ12" i="34"/>
  <c r="L61" i="29"/>
  <c r="BQ8" i="34"/>
  <c r="H61" i="29"/>
  <c r="BQ4" i="34"/>
  <c r="D61" i="29"/>
  <c r="AE39" i="29"/>
  <c r="G30" i="42"/>
  <c r="C30" i="42"/>
  <c r="X30" i="42"/>
  <c r="R30" i="42"/>
  <c r="D30" i="42"/>
  <c r="M30" i="42"/>
  <c r="Q94" i="42"/>
  <c r="G94" i="42"/>
  <c r="O94" i="42"/>
  <c r="D98" i="42"/>
  <c r="F94" i="42"/>
  <c r="H65" i="42"/>
  <c r="H59" i="42"/>
  <c r="G64" i="42"/>
  <c r="G65" i="42"/>
  <c r="G63" i="42"/>
  <c r="G56" i="42"/>
  <c r="G57" i="42"/>
  <c r="G50" i="42"/>
  <c r="G52" i="42" s="1"/>
  <c r="G49" i="42"/>
  <c r="G51" i="42" s="1"/>
  <c r="C60" i="42"/>
  <c r="C54" i="42"/>
  <c r="D35" i="42"/>
  <c r="D55" i="42" s="1"/>
  <c r="Z3" i="34"/>
  <c r="C14" i="29"/>
  <c r="U27" i="34"/>
  <c r="AA9" i="29"/>
  <c r="R26" i="29"/>
  <c r="AJ18" i="34"/>
  <c r="T24" i="34"/>
  <c r="X8" i="29"/>
  <c r="B46" i="29"/>
  <c r="BC2" i="34"/>
  <c r="AI24" i="34"/>
  <c r="X25" i="29"/>
  <c r="V14" i="29"/>
  <c r="Z22" i="34"/>
  <c r="BD21" i="34"/>
  <c r="U47" i="29"/>
  <c r="U45" i="29"/>
  <c r="BB21" i="34"/>
  <c r="BB17" i="34"/>
  <c r="Q45" i="29"/>
  <c r="AG20" i="34"/>
  <c r="T23" i="29"/>
  <c r="T23" i="34"/>
  <c r="W8" i="29"/>
  <c r="T7" i="34"/>
  <c r="G8" i="29"/>
  <c r="Z2" i="34"/>
  <c r="B14" i="29"/>
  <c r="AF12" i="34"/>
  <c r="L22" i="29"/>
  <c r="AJ28" i="34"/>
  <c r="AB26" i="29"/>
  <c r="AZ8" i="34"/>
  <c r="H43" i="29"/>
  <c r="AW23" i="34"/>
  <c r="W40" i="29"/>
  <c r="BE27" i="34"/>
  <c r="AA48" i="29"/>
  <c r="F14" i="29"/>
  <c r="Z6" i="34"/>
  <c r="BJ4" i="34"/>
  <c r="D53" i="29"/>
  <c r="K43" i="29"/>
  <c r="AZ11" i="34"/>
  <c r="G52" i="29"/>
  <c r="BI7" i="34"/>
  <c r="Z26" i="29"/>
  <c r="AJ26" i="34"/>
  <c r="BC5" i="34"/>
  <c r="E46" i="29"/>
  <c r="AA40" i="29"/>
  <c r="AW27" i="34"/>
  <c r="P46" i="29"/>
  <c r="BC16" i="34"/>
  <c r="BK20" i="34"/>
  <c r="T54" i="29"/>
  <c r="BG20" i="34"/>
  <c r="T50" i="29"/>
  <c r="O46" i="29"/>
  <c r="BC15" i="34"/>
  <c r="BD3" i="34"/>
  <c r="C47" i="29"/>
  <c r="BF3" i="34"/>
  <c r="C49" i="29"/>
  <c r="BA4" i="34"/>
  <c r="D44" i="29"/>
  <c r="BK11" i="34"/>
  <c r="K54" i="29"/>
  <c r="AV10" i="34"/>
  <c r="AB10" i="34"/>
  <c r="U9" i="34"/>
  <c r="I9" i="29"/>
  <c r="AJ14" i="34"/>
  <c r="N26" i="29"/>
  <c r="BF21" i="34"/>
  <c r="U49" i="29"/>
  <c r="BB2" i="34"/>
  <c r="B45" i="29"/>
  <c r="AJ24" i="34"/>
  <c r="X26" i="29"/>
  <c r="L26" i="29"/>
  <c r="AJ12" i="34"/>
  <c r="U50" i="29"/>
  <c r="BG21" i="34"/>
  <c r="BG17" i="34"/>
  <c r="Q50" i="29"/>
  <c r="T24" i="29"/>
  <c r="AH20" i="34"/>
  <c r="BA8" i="34"/>
  <c r="H44" i="29"/>
  <c r="H47" i="29"/>
  <c r="BD8" i="34"/>
  <c r="X13" i="29"/>
  <c r="Y24" i="34"/>
  <c r="BB27" i="34"/>
  <c r="AA45" i="29"/>
  <c r="AE6" i="34"/>
  <c r="F21" i="29"/>
  <c r="AJ6" i="34"/>
  <c r="F26" i="29"/>
  <c r="AA14" i="29"/>
  <c r="Z27" i="34"/>
  <c r="BF7" i="34"/>
  <c r="G49" i="29"/>
  <c r="G54" i="29"/>
  <c r="BK7" i="34"/>
  <c r="BA7" i="34"/>
  <c r="G44" i="29"/>
  <c r="AD26" i="34"/>
  <c r="Z20" i="29"/>
  <c r="Y16" i="34"/>
  <c r="P13" i="29"/>
  <c r="BH5" i="34"/>
  <c r="E51" i="29"/>
  <c r="AB12" i="29"/>
  <c r="X28" i="34"/>
  <c r="P48" i="29"/>
  <c r="BE16" i="34"/>
  <c r="W55" i="29"/>
  <c r="BL23" i="34"/>
  <c r="BJ20" i="34"/>
  <c r="T53" i="29"/>
  <c r="O53" i="29"/>
  <c r="BJ15" i="34"/>
  <c r="BA3" i="34"/>
  <c r="C44" i="29"/>
  <c r="C54" i="29"/>
  <c r="BK3" i="34"/>
  <c r="V25" i="29"/>
  <c r="AI22" i="34"/>
  <c r="AH8" i="34"/>
  <c r="H24" i="29"/>
  <c r="D51" i="29"/>
  <c r="BH4" i="34"/>
  <c r="K49" i="29"/>
  <c r="BF11" i="34"/>
  <c r="BC11" i="34"/>
  <c r="K46" i="29"/>
  <c r="AX21" i="34"/>
  <c r="U41" i="29"/>
  <c r="AX16" i="34"/>
  <c r="P41" i="29"/>
  <c r="BJ10" i="34"/>
  <c r="BJ6" i="34"/>
  <c r="AB6" i="34"/>
  <c r="AB26" i="34"/>
  <c r="P49" i="29"/>
  <c r="AD9" i="34"/>
  <c r="I19" i="29"/>
  <c r="X35" i="34"/>
  <c r="S9" i="29"/>
  <c r="U19" i="34"/>
  <c r="V9" i="29"/>
  <c r="U22" i="34"/>
  <c r="AC7" i="29"/>
  <c r="S29" i="34"/>
  <c r="U11" i="29"/>
  <c r="W21" i="34"/>
  <c r="AH18" i="34"/>
  <c r="R24" i="29"/>
  <c r="AK14" i="34"/>
  <c r="N27" i="29"/>
  <c r="AJ10" i="34"/>
  <c r="J26" i="29"/>
  <c r="W15" i="34"/>
  <c r="O11" i="29"/>
  <c r="BE17" i="34"/>
  <c r="Q48" i="29"/>
  <c r="BJ2" i="34"/>
  <c r="B53" i="29"/>
  <c r="B54" i="29"/>
  <c r="BK2" i="34"/>
  <c r="AB13" i="34"/>
  <c r="AK24" i="34"/>
  <c r="X27" i="29"/>
  <c r="Z12" i="34"/>
  <c r="L14" i="29"/>
  <c r="AB23" i="29"/>
  <c r="AG28" i="34"/>
  <c r="U17" i="29"/>
  <c r="AA21" i="34"/>
  <c r="BA21" i="34"/>
  <c r="U44" i="29"/>
  <c r="BA17" i="34"/>
  <c r="Q44" i="29"/>
  <c r="T25" i="29"/>
  <c r="AI20" i="34"/>
  <c r="K11" i="29"/>
  <c r="W11" i="34"/>
  <c r="AD12" i="34"/>
  <c r="L20" i="29"/>
  <c r="AH28" i="34"/>
  <c r="AB24" i="29"/>
  <c r="H39" i="29"/>
  <c r="AV8" i="34"/>
  <c r="H45" i="29"/>
  <c r="BB8" i="34"/>
  <c r="H49" i="29"/>
  <c r="BF8" i="34"/>
  <c r="BJ8" i="34"/>
  <c r="H53" i="29"/>
  <c r="W56" i="29"/>
  <c r="BM23" i="34"/>
  <c r="AA47" i="29"/>
  <c r="BD27" i="34"/>
  <c r="BH27" i="34"/>
  <c r="AA51" i="29"/>
  <c r="AA49" i="29"/>
  <c r="BF27" i="34"/>
  <c r="F23" i="29"/>
  <c r="AG6" i="34"/>
  <c r="AK6" i="34"/>
  <c r="F27" i="29"/>
  <c r="AB14" i="29"/>
  <c r="Z28" i="34"/>
  <c r="S40" i="29"/>
  <c r="AW19" i="34"/>
  <c r="C53" i="29"/>
  <c r="BJ3" i="34"/>
  <c r="AK16" i="34"/>
  <c r="P27" i="29"/>
  <c r="W2" i="34"/>
  <c r="G39" i="29"/>
  <c r="AV7" i="34"/>
  <c r="G53" i="29"/>
  <c r="BJ7" i="34"/>
  <c r="AH26" i="34"/>
  <c r="Z24" i="29"/>
  <c r="AE26" i="34"/>
  <c r="Z21" i="29"/>
  <c r="E47" i="29"/>
  <c r="BD5" i="34"/>
  <c r="AZ5" i="34"/>
  <c r="E43" i="29"/>
  <c r="E49" i="29"/>
  <c r="BF5" i="34"/>
  <c r="P26" i="29"/>
  <c r="AJ16" i="34"/>
  <c r="AF16" i="34"/>
  <c r="P22" i="29"/>
  <c r="BB11" i="34"/>
  <c r="K45" i="29"/>
  <c r="V40" i="29"/>
  <c r="AW22" i="34"/>
  <c r="BI16" i="34"/>
  <c r="P52" i="29"/>
  <c r="P47" i="29"/>
  <c r="BD16" i="34"/>
  <c r="BK16" i="34"/>
  <c r="P54" i="29"/>
  <c r="AX5" i="34"/>
  <c r="E41" i="29"/>
  <c r="AV20" i="34"/>
  <c r="T39" i="29"/>
  <c r="T52" i="29"/>
  <c r="BI20" i="34"/>
  <c r="T17" i="29"/>
  <c r="AA20" i="34"/>
  <c r="BB20" i="34"/>
  <c r="T45" i="29"/>
  <c r="O48" i="29"/>
  <c r="BE15" i="34"/>
  <c r="O45" i="29"/>
  <c r="BB15" i="34"/>
  <c r="AZ15" i="34"/>
  <c r="O43" i="29"/>
  <c r="C45" i="29"/>
  <c r="BB3" i="34"/>
  <c r="BE3" i="34"/>
  <c r="C48" i="29"/>
  <c r="C46" i="29"/>
  <c r="BC3" i="34"/>
  <c r="AF22" i="34"/>
  <c r="V22" i="29"/>
  <c r="AJ2" i="34"/>
  <c r="B26" i="29"/>
  <c r="AH2" i="34"/>
  <c r="B24" i="29"/>
  <c r="H26" i="29"/>
  <c r="AJ8" i="34"/>
  <c r="AF8" i="34"/>
  <c r="H22" i="29"/>
  <c r="AW35" i="34"/>
  <c r="D52" i="29"/>
  <c r="BI4" i="34"/>
  <c r="BC4" i="34"/>
  <c r="D46" i="29"/>
  <c r="BI11" i="34"/>
  <c r="K52" i="29"/>
  <c r="AV11" i="34"/>
  <c r="K39" i="29"/>
  <c r="AU11" i="34"/>
  <c r="K38" i="29"/>
  <c r="V18" i="34"/>
  <c r="R10" i="29"/>
  <c r="J25" i="29"/>
  <c r="AI10" i="34"/>
  <c r="T16" i="34"/>
  <c r="P8" i="29"/>
  <c r="T8" i="34"/>
  <c r="H8" i="29"/>
  <c r="BC21" i="34"/>
  <c r="U46" i="29"/>
  <c r="AK20" i="34"/>
  <c r="T27" i="29"/>
  <c r="O14" i="29"/>
  <c r="Z15" i="34"/>
  <c r="BL24" i="34"/>
  <c r="X55" i="29"/>
  <c r="BD17" i="34"/>
  <c r="Q47" i="29"/>
  <c r="W6" i="34"/>
  <c r="F11" i="29"/>
  <c r="BK8" i="34"/>
  <c r="H54" i="29"/>
  <c r="AA27" i="34"/>
  <c r="AA17" i="29"/>
  <c r="AA46" i="29"/>
  <c r="BC27" i="34"/>
  <c r="F25" i="29"/>
  <c r="AI6" i="34"/>
  <c r="R56" i="29"/>
  <c r="BM18" i="34"/>
  <c r="W14" i="34"/>
  <c r="N11" i="29"/>
  <c r="G38" i="29"/>
  <c r="AU7" i="34"/>
  <c r="BG7" i="34"/>
  <c r="G50" i="29"/>
  <c r="AG26" i="34"/>
  <c r="Z23" i="29"/>
  <c r="E45" i="29"/>
  <c r="BB5" i="34"/>
  <c r="AE16" i="34"/>
  <c r="P21" i="29"/>
  <c r="BL22" i="34"/>
  <c r="V55" i="29"/>
  <c r="BA16" i="34"/>
  <c r="P44" i="29"/>
  <c r="AU16" i="34"/>
  <c r="P38" i="29"/>
  <c r="T47" i="29"/>
  <c r="BD20" i="34"/>
  <c r="AA15" i="34"/>
  <c r="O17" i="29"/>
  <c r="BA15" i="34"/>
  <c r="O44" i="29"/>
  <c r="C51" i="29"/>
  <c r="BH3" i="34"/>
  <c r="AE22" i="34"/>
  <c r="V21" i="29"/>
  <c r="V24" i="29"/>
  <c r="AH22" i="34"/>
  <c r="AF2" i="34"/>
  <c r="B22" i="29"/>
  <c r="H21" i="29"/>
  <c r="AE8" i="34"/>
  <c r="D38" i="29"/>
  <c r="AU4" i="34"/>
  <c r="D48" i="29"/>
  <c r="BE4" i="34"/>
  <c r="K50" i="29"/>
  <c r="BG11" i="34"/>
  <c r="BG10" i="34"/>
  <c r="AF9" i="34"/>
  <c r="R74" i="29"/>
  <c r="CK18" i="34"/>
  <c r="Y66" i="42"/>
  <c r="R27" i="29"/>
  <c r="AK18" i="34"/>
  <c r="BD2" i="34"/>
  <c r="B47" i="29"/>
  <c r="Z11" i="34"/>
  <c r="K14" i="29"/>
  <c r="BI21" i="34"/>
  <c r="U52" i="29"/>
  <c r="Q52" i="29"/>
  <c r="BI17" i="34"/>
  <c r="BM24" i="34"/>
  <c r="X56" i="29"/>
  <c r="AG12" i="34"/>
  <c r="L23" i="29"/>
  <c r="AK28" i="34"/>
  <c r="AB27" i="29"/>
  <c r="BG8" i="34"/>
  <c r="H50" i="29"/>
  <c r="BE20" i="34"/>
  <c r="T48" i="29"/>
  <c r="AV27" i="34"/>
  <c r="AA39" i="29"/>
  <c r="X4" i="34"/>
  <c r="D12" i="29"/>
  <c r="BM19" i="34"/>
  <c r="S56" i="29"/>
  <c r="FK2" i="34"/>
  <c r="B163" i="29"/>
  <c r="AU5" i="34"/>
  <c r="E38" i="29"/>
  <c r="AH16" i="34"/>
  <c r="P24" i="29"/>
  <c r="BJ16" i="34"/>
  <c r="P53" i="29"/>
  <c r="AZ16" i="34"/>
  <c r="P43" i="29"/>
  <c r="T49" i="29"/>
  <c r="BF20" i="34"/>
  <c r="BF15" i="34"/>
  <c r="O49" i="29"/>
  <c r="BH15" i="34"/>
  <c r="O51" i="29"/>
  <c r="C43" i="29"/>
  <c r="AZ3" i="34"/>
  <c r="AK22" i="34"/>
  <c r="V27" i="29"/>
  <c r="U14" i="29"/>
  <c r="Z21" i="34"/>
  <c r="D45" i="29"/>
  <c r="BB4" i="34"/>
  <c r="BG4" i="34"/>
  <c r="D50" i="29"/>
  <c r="BJ11" i="34"/>
  <c r="K53" i="29"/>
  <c r="K17" i="29"/>
  <c r="AA11" i="34"/>
  <c r="M78" i="29"/>
  <c r="BH10" i="34"/>
  <c r="Z53" i="29"/>
  <c r="B25" i="29"/>
  <c r="AC9" i="34"/>
  <c r="U4" i="34"/>
  <c r="D9" i="29"/>
  <c r="W10" i="29"/>
  <c r="V23" i="34"/>
  <c r="CK11" i="34"/>
  <c r="K74" i="29"/>
  <c r="W13" i="34"/>
  <c r="M11" i="29"/>
  <c r="AI18" i="34"/>
  <c r="R25" i="29"/>
  <c r="AH14" i="34"/>
  <c r="N24" i="29"/>
  <c r="AH10" i="34"/>
  <c r="J24" i="29"/>
  <c r="AK10" i="34"/>
  <c r="J27" i="29"/>
  <c r="W20" i="34"/>
  <c r="T11" i="29"/>
  <c r="L11" i="29"/>
  <c r="W12" i="34"/>
  <c r="W26" i="34"/>
  <c r="Z11" i="29"/>
  <c r="BH17" i="34"/>
  <c r="Q51" i="29"/>
  <c r="AV2" i="34"/>
  <c r="B39" i="29"/>
  <c r="T3" i="34"/>
  <c r="C8" i="29"/>
  <c r="AH24" i="34"/>
  <c r="X24" i="29"/>
  <c r="AU21" i="34"/>
  <c r="U38" i="29"/>
  <c r="U53" i="29"/>
  <c r="BJ21" i="34"/>
  <c r="AV17" i="34"/>
  <c r="Q39" i="29"/>
  <c r="BJ17" i="34"/>
  <c r="Q53" i="29"/>
  <c r="AF20" i="34"/>
  <c r="T22" i="29"/>
  <c r="I18" i="29"/>
  <c r="AB9" i="34"/>
  <c r="T15" i="34"/>
  <c r="O8" i="29"/>
  <c r="G11" i="29"/>
  <c r="W7" i="34"/>
  <c r="R55" i="29"/>
  <c r="BL18" i="34"/>
  <c r="AE12" i="34"/>
  <c r="L21" i="29"/>
  <c r="AI28" i="34"/>
  <c r="AB25" i="29"/>
  <c r="BC8" i="34"/>
  <c r="H46" i="29"/>
  <c r="H38" i="29"/>
  <c r="AU8" i="34"/>
  <c r="Y25" i="34"/>
  <c r="Y13" i="29"/>
  <c r="AA44" i="29"/>
  <c r="BA27" i="34"/>
  <c r="AZ27" i="34"/>
  <c r="AA43" i="29"/>
  <c r="BK27" i="34"/>
  <c r="AA54" i="29"/>
  <c r="AH6" i="34"/>
  <c r="F24" i="29"/>
  <c r="X26" i="34"/>
  <c r="Z12" i="29"/>
  <c r="E50" i="29"/>
  <c r="BG5" i="34"/>
  <c r="O54" i="29"/>
  <c r="BK15" i="34"/>
  <c r="Z13" i="34"/>
  <c r="M14" i="29"/>
  <c r="B23" i="29"/>
  <c r="AG2" i="34"/>
  <c r="B8" i="29"/>
  <c r="T2" i="34"/>
  <c r="G43" i="29"/>
  <c r="AZ7" i="34"/>
  <c r="G47" i="29"/>
  <c r="BD7" i="34"/>
  <c r="G45" i="29"/>
  <c r="BB7" i="34"/>
  <c r="AF26" i="34"/>
  <c r="Z22" i="29"/>
  <c r="BA5" i="34"/>
  <c r="E44" i="29"/>
  <c r="E48" i="29"/>
  <c r="BE5" i="34"/>
  <c r="BK5" i="34"/>
  <c r="E54" i="29"/>
  <c r="P20" i="29"/>
  <c r="AD16" i="34"/>
  <c r="AG16" i="34"/>
  <c r="P23" i="29"/>
  <c r="AW15" i="34"/>
  <c r="O40" i="29"/>
  <c r="V56" i="29"/>
  <c r="BM22" i="34"/>
  <c r="AA16" i="34"/>
  <c r="P17" i="29"/>
  <c r="P45" i="29"/>
  <c r="BB16" i="34"/>
  <c r="BG16" i="34"/>
  <c r="P50" i="29"/>
  <c r="BH20" i="34"/>
  <c r="T51" i="29"/>
  <c r="T44" i="29"/>
  <c r="BA20" i="34"/>
  <c r="AU20" i="34"/>
  <c r="T38" i="29"/>
  <c r="O47" i="29"/>
  <c r="BD15" i="34"/>
  <c r="BI15" i="34"/>
  <c r="O52" i="29"/>
  <c r="BG15" i="34"/>
  <c r="O50" i="29"/>
  <c r="C39" i="29"/>
  <c r="AV3" i="34"/>
  <c r="AG22" i="34"/>
  <c r="V23" i="29"/>
  <c r="B21" i="29"/>
  <c r="AE2" i="34"/>
  <c r="AK2" i="34"/>
  <c r="B27" i="29"/>
  <c r="AD8" i="34"/>
  <c r="H20" i="29"/>
  <c r="AG8" i="34"/>
  <c r="H23" i="29"/>
  <c r="AV4" i="34"/>
  <c r="D39" i="29"/>
  <c r="D47" i="29"/>
  <c r="BD4" i="34"/>
  <c r="AZ4" i="34"/>
  <c r="D43" i="29"/>
  <c r="BH11" i="34"/>
  <c r="K51" i="29"/>
  <c r="K48" i="29"/>
  <c r="BE11" i="34"/>
  <c r="K47" i="29"/>
  <c r="BD11" i="34"/>
  <c r="AC67" i="44"/>
  <c r="AC66" i="44"/>
  <c r="J35" i="42"/>
  <c r="J62" i="42" s="1"/>
  <c r="J36" i="42"/>
  <c r="J34" i="42" s="1"/>
  <c r="J37" i="42" s="1"/>
  <c r="AC19" i="29"/>
  <c r="AC29" i="34"/>
  <c r="CO3" i="34"/>
  <c r="C78" i="29"/>
  <c r="V74" i="29"/>
  <c r="CK22" i="34"/>
  <c r="H78" i="29"/>
  <c r="CO8" i="34"/>
  <c r="U78" i="29"/>
  <c r="CO21" i="34"/>
  <c r="CK6" i="34"/>
  <c r="F74" i="29"/>
  <c r="CK19" i="34"/>
  <c r="S74" i="29"/>
  <c r="CO7" i="34"/>
  <c r="G78" i="29"/>
  <c r="CO22" i="34"/>
  <c r="V78" i="29"/>
  <c r="G74" i="29"/>
  <c r="CK7" i="34"/>
  <c r="CO9" i="34"/>
  <c r="I78" i="29"/>
  <c r="D74" i="29"/>
  <c r="CK4" i="34"/>
  <c r="B78" i="29"/>
  <c r="CO2" i="34"/>
  <c r="U28" i="34"/>
  <c r="AB9" i="29"/>
  <c r="CO23" i="34"/>
  <c r="W78" i="29"/>
  <c r="U5" i="34"/>
  <c r="E9" i="29"/>
  <c r="Q11" i="29"/>
  <c r="W17" i="34"/>
  <c r="BI10" i="34"/>
  <c r="J52" i="29"/>
  <c r="J50" i="29"/>
  <c r="BG6" i="34"/>
  <c r="F50" i="29"/>
  <c r="F52" i="29"/>
  <c r="BI6" i="34"/>
  <c r="BD6" i="34"/>
  <c r="F47" i="29"/>
  <c r="F44" i="29"/>
  <c r="BA6" i="34"/>
  <c r="BK28" i="34"/>
  <c r="AB54" i="29"/>
  <c r="AA28" i="34"/>
  <c r="AB17" i="29"/>
  <c r="AU28" i="34"/>
  <c r="AB38" i="29"/>
  <c r="AV28" i="34"/>
  <c r="AB39" i="29"/>
  <c r="AG25" i="34"/>
  <c r="Y23" i="29"/>
  <c r="AK25" i="34"/>
  <c r="Y27" i="29"/>
  <c r="AD19" i="34"/>
  <c r="S20" i="29"/>
  <c r="AI19" i="34"/>
  <c r="S25" i="29"/>
  <c r="AJ19" i="34"/>
  <c r="S26" i="29"/>
  <c r="L17" i="29"/>
  <c r="AA12" i="34"/>
  <c r="AZ12" i="34"/>
  <c r="L43" i="29"/>
  <c r="L45" i="29"/>
  <c r="BB12" i="34"/>
  <c r="BE12" i="34"/>
  <c r="L48" i="29"/>
  <c r="B147" i="29"/>
  <c r="EU2" i="34"/>
  <c r="EW2" i="34"/>
  <c r="B149" i="29"/>
  <c r="B150" i="29"/>
  <c r="EX2" i="34"/>
  <c r="Z45" i="29"/>
  <c r="BB26" i="34"/>
  <c r="AZ26" i="34"/>
  <c r="Z43" i="29"/>
  <c r="BC26" i="34"/>
  <c r="Z46" i="29"/>
  <c r="Z44" i="29"/>
  <c r="BA26" i="34"/>
  <c r="AH21" i="34"/>
  <c r="U24" i="29"/>
  <c r="AE15" i="34"/>
  <c r="O21" i="29"/>
  <c r="AK15" i="34"/>
  <c r="O27" i="29"/>
  <c r="AG11" i="34"/>
  <c r="K23" i="29"/>
  <c r="AH11" i="34"/>
  <c r="K24" i="29"/>
  <c r="AE7" i="34"/>
  <c r="G21" i="29"/>
  <c r="AK7" i="34"/>
  <c r="G27" i="29"/>
  <c r="AE27" i="34"/>
  <c r="AA21" i="29"/>
  <c r="AK27" i="34"/>
  <c r="AA27" i="29"/>
  <c r="AG23" i="34"/>
  <c r="W23" i="29"/>
  <c r="AH23" i="34"/>
  <c r="W24" i="29"/>
  <c r="N53" i="29"/>
  <c r="BJ14" i="34"/>
  <c r="N51" i="29"/>
  <c r="BH14" i="34"/>
  <c r="BB14" i="34"/>
  <c r="N45" i="29"/>
  <c r="BF14" i="34"/>
  <c r="N49" i="29"/>
  <c r="BI14" i="34"/>
  <c r="N52" i="29"/>
  <c r="AH17" i="34"/>
  <c r="Q24" i="29"/>
  <c r="AE13" i="34"/>
  <c r="M21" i="29"/>
  <c r="AF13" i="34"/>
  <c r="M22" i="29"/>
  <c r="AJ13" i="34"/>
  <c r="M26" i="29"/>
  <c r="AH9" i="34"/>
  <c r="I24" i="29"/>
  <c r="AE5" i="34"/>
  <c r="E21" i="29"/>
  <c r="AH5" i="34"/>
  <c r="E24" i="29"/>
  <c r="O35" i="42"/>
  <c r="O62" i="42" s="1"/>
  <c r="O36" i="42"/>
  <c r="O34" i="42" s="1"/>
  <c r="O37" i="42" s="1"/>
  <c r="AC18" i="29"/>
  <c r="AB29" i="34"/>
  <c r="CO27" i="34"/>
  <c r="AA78" i="29"/>
  <c r="J74" i="29"/>
  <c r="CK10" i="34"/>
  <c r="CK25" i="34"/>
  <c r="Y74" i="29"/>
  <c r="K78" i="29"/>
  <c r="CO11" i="34"/>
  <c r="X78" i="29"/>
  <c r="CO24" i="34"/>
  <c r="I74" i="29"/>
  <c r="CK9" i="34"/>
  <c r="CK24" i="34"/>
  <c r="X74" i="29"/>
  <c r="CO12" i="34"/>
  <c r="L78" i="29"/>
  <c r="CK29" i="34"/>
  <c r="AC74" i="29"/>
  <c r="AB74" i="29"/>
  <c r="CK28" i="34"/>
  <c r="Z78" i="29"/>
  <c r="CO26" i="34"/>
  <c r="CK21" i="34"/>
  <c r="U74" i="29"/>
  <c r="AE56" i="29"/>
  <c r="BM31" i="34"/>
  <c r="AW31" i="34"/>
  <c r="AE40" i="29"/>
  <c r="BA10" i="34"/>
  <c r="J53" i="29"/>
  <c r="BE10" i="34"/>
  <c r="J48" i="29"/>
  <c r="J54" i="29"/>
  <c r="BK10" i="34"/>
  <c r="BK6" i="34"/>
  <c r="BH6" i="34"/>
  <c r="F51" i="29"/>
  <c r="BC28" i="34"/>
  <c r="AB46" i="29"/>
  <c r="BI28" i="34"/>
  <c r="AB52" i="29"/>
  <c r="BG28" i="34"/>
  <c r="AB50" i="29"/>
  <c r="BE28" i="34"/>
  <c r="AB48" i="29"/>
  <c r="AE25" i="34"/>
  <c r="Y21" i="29"/>
  <c r="AF25" i="34"/>
  <c r="Y22" i="29"/>
  <c r="AJ25" i="34"/>
  <c r="Y26" i="29"/>
  <c r="AG19" i="34"/>
  <c r="S23" i="29"/>
  <c r="AH19" i="34"/>
  <c r="S24" i="29"/>
  <c r="BD12" i="34"/>
  <c r="L47" i="29"/>
  <c r="L51" i="29"/>
  <c r="BH12" i="34"/>
  <c r="L38" i="29"/>
  <c r="AU12" i="34"/>
  <c r="BJ12" i="34"/>
  <c r="L53" i="29"/>
  <c r="ES2" i="34"/>
  <c r="B145" i="29"/>
  <c r="B146" i="29"/>
  <c r="ET2" i="34"/>
  <c r="Z38" i="29"/>
  <c r="AU26" i="34"/>
  <c r="AV26" i="34"/>
  <c r="Z39" i="29"/>
  <c r="BF26" i="34"/>
  <c r="Z49" i="29"/>
  <c r="Z47" i="29"/>
  <c r="BD26" i="34"/>
  <c r="AG21" i="34"/>
  <c r="U23" i="29"/>
  <c r="AK21" i="34"/>
  <c r="U27" i="29"/>
  <c r="AD15" i="34"/>
  <c r="O20" i="29"/>
  <c r="AI15" i="34"/>
  <c r="O25" i="29"/>
  <c r="AJ15" i="34"/>
  <c r="O26" i="29"/>
  <c r="AF11" i="34"/>
  <c r="K22" i="29"/>
  <c r="AD7" i="34"/>
  <c r="G20" i="29"/>
  <c r="AI7" i="34"/>
  <c r="G25" i="29"/>
  <c r="AJ7" i="34"/>
  <c r="G26" i="29"/>
  <c r="AD27" i="34"/>
  <c r="AA20" i="29"/>
  <c r="AI27" i="34"/>
  <c r="AA25" i="29"/>
  <c r="AJ27" i="34"/>
  <c r="AA26" i="29"/>
  <c r="AF23" i="34"/>
  <c r="W22" i="29"/>
  <c r="N38" i="29"/>
  <c r="AU14" i="34"/>
  <c r="BE14" i="34"/>
  <c r="N48" i="29"/>
  <c r="BG14" i="34"/>
  <c r="N50" i="29"/>
  <c r="AG17" i="34"/>
  <c r="Q23" i="29"/>
  <c r="AK17" i="34"/>
  <c r="Q27" i="29"/>
  <c r="AD13" i="34"/>
  <c r="M20" i="29"/>
  <c r="AI13" i="34"/>
  <c r="M25" i="29"/>
  <c r="AG9" i="34"/>
  <c r="I23" i="29"/>
  <c r="AK9" i="34"/>
  <c r="I27" i="29"/>
  <c r="AF5" i="34"/>
  <c r="E22" i="29"/>
  <c r="AK5" i="34"/>
  <c r="E27" i="29"/>
  <c r="AM36" i="34"/>
  <c r="AI36" i="34"/>
  <c r="Q35" i="42"/>
  <c r="Q57" i="42" s="1"/>
  <c r="Q36" i="42"/>
  <c r="Q34" i="42" s="1"/>
  <c r="Q37" i="42" s="1"/>
  <c r="E36" i="42"/>
  <c r="E34" i="42" s="1"/>
  <c r="E37" i="42" s="1"/>
  <c r="E35" i="42"/>
  <c r="E63" i="42" s="1"/>
  <c r="L36" i="42"/>
  <c r="L34" i="42" s="1"/>
  <c r="L37" i="42" s="1"/>
  <c r="L35" i="42"/>
  <c r="L55" i="42" s="1"/>
  <c r="CO29" i="34"/>
  <c r="AC78" i="29"/>
  <c r="CO15" i="34"/>
  <c r="O78" i="29"/>
  <c r="CQ2" i="34"/>
  <c r="B91" i="29"/>
  <c r="CK15" i="34"/>
  <c r="O74" i="29"/>
  <c r="Z74" i="29"/>
  <c r="CK26" i="34"/>
  <c r="CO14" i="34"/>
  <c r="N78" i="29"/>
  <c r="CK14" i="34"/>
  <c r="N74" i="29"/>
  <c r="CK27" i="34"/>
  <c r="AA74" i="29"/>
  <c r="CO25" i="34"/>
  <c r="Y78" i="29"/>
  <c r="T74" i="29"/>
  <c r="CK20" i="34"/>
  <c r="R78" i="29"/>
  <c r="CO18" i="34"/>
  <c r="CK13" i="34"/>
  <c r="M74" i="29"/>
  <c r="BD10" i="34"/>
  <c r="J47" i="29"/>
  <c r="BB10" i="34"/>
  <c r="J45" i="29"/>
  <c r="J46" i="29"/>
  <c r="BC10" i="34"/>
  <c r="F39" i="29"/>
  <c r="AV6" i="34"/>
  <c r="F45" i="29"/>
  <c r="BB6" i="34"/>
  <c r="F46" i="29"/>
  <c r="BC6" i="34"/>
  <c r="BF28" i="34"/>
  <c r="AB49" i="29"/>
  <c r="BA28" i="34"/>
  <c r="AB44" i="29"/>
  <c r="BJ28" i="34"/>
  <c r="AB53" i="29"/>
  <c r="BH28" i="34"/>
  <c r="AB51" i="29"/>
  <c r="AD25" i="34"/>
  <c r="Y20" i="29"/>
  <c r="AI25" i="34"/>
  <c r="Y25" i="29"/>
  <c r="AF19" i="34"/>
  <c r="S22" i="29"/>
  <c r="BI12" i="34"/>
  <c r="L52" i="29"/>
  <c r="L49" i="29"/>
  <c r="BF12" i="34"/>
  <c r="AV12" i="34"/>
  <c r="L39" i="29"/>
  <c r="B152" i="29"/>
  <c r="EZ2" i="34"/>
  <c r="Z50" i="29"/>
  <c r="BG26" i="34"/>
  <c r="AA26" i="34"/>
  <c r="Z17" i="29"/>
  <c r="AE21" i="34"/>
  <c r="U21" i="29"/>
  <c r="AF21" i="34"/>
  <c r="U22" i="29"/>
  <c r="AJ21" i="34"/>
  <c r="U26" i="29"/>
  <c r="AG15" i="34"/>
  <c r="O23" i="29"/>
  <c r="AH15" i="34"/>
  <c r="O24" i="29"/>
  <c r="AE11" i="34"/>
  <c r="K21" i="29"/>
  <c r="AK11" i="34"/>
  <c r="K27" i="29"/>
  <c r="AG7" i="34"/>
  <c r="G23" i="29"/>
  <c r="AH7" i="34"/>
  <c r="G24" i="29"/>
  <c r="AG27" i="34"/>
  <c r="AA23" i="29"/>
  <c r="AH27" i="34"/>
  <c r="AA24" i="29"/>
  <c r="AE23" i="34"/>
  <c r="W21" i="29"/>
  <c r="AK23" i="34"/>
  <c r="W27" i="29"/>
  <c r="BA14" i="34"/>
  <c r="N44" i="29"/>
  <c r="N47" i="29"/>
  <c r="BD14" i="34"/>
  <c r="AA14" i="34"/>
  <c r="N17" i="29"/>
  <c r="AE17" i="34"/>
  <c r="Q21" i="29"/>
  <c r="AF17" i="34"/>
  <c r="Q22" i="29"/>
  <c r="AJ17" i="34"/>
  <c r="Q26" i="29"/>
  <c r="AH13" i="34"/>
  <c r="M24" i="29"/>
  <c r="AE9" i="34"/>
  <c r="I21" i="29"/>
  <c r="AJ9" i="34"/>
  <c r="I26" i="29"/>
  <c r="AJ5" i="34"/>
  <c r="E26" i="29"/>
  <c r="AZ35" i="34"/>
  <c r="N35" i="42"/>
  <c r="N62" i="42" s="1"/>
  <c r="K35" i="42"/>
  <c r="K65" i="42" s="1"/>
  <c r="K36" i="42"/>
  <c r="K34" i="42" s="1"/>
  <c r="K37" i="42" s="1"/>
  <c r="B35" i="42"/>
  <c r="B60" i="42" s="1"/>
  <c r="P78" i="29"/>
  <c r="CO16" i="34"/>
  <c r="CO5" i="34"/>
  <c r="E78" i="29"/>
  <c r="T78" i="29"/>
  <c r="CO20" i="34"/>
  <c r="CK3" i="34"/>
  <c r="C74" i="29"/>
  <c r="CK16" i="34"/>
  <c r="P74" i="29"/>
  <c r="CO4" i="34"/>
  <c r="D78" i="29"/>
  <c r="S78" i="29"/>
  <c r="CO19" i="34"/>
  <c r="B74" i="29"/>
  <c r="CK2" i="34"/>
  <c r="Q74" i="29"/>
  <c r="CK17" i="34"/>
  <c r="CO17" i="34"/>
  <c r="Q78" i="29"/>
  <c r="L74" i="29"/>
  <c r="CK12" i="34"/>
  <c r="J78" i="29"/>
  <c r="CO10" i="34"/>
  <c r="CK5" i="34"/>
  <c r="E74" i="29"/>
  <c r="H74" i="29"/>
  <c r="CK8" i="34"/>
  <c r="AU10" i="34"/>
  <c r="J38" i="29"/>
  <c r="AZ10" i="34"/>
  <c r="J43" i="29"/>
  <c r="J49" i="29"/>
  <c r="BF10" i="34"/>
  <c r="F49" i="29"/>
  <c r="BF6" i="34"/>
  <c r="AZ6" i="34"/>
  <c r="F43" i="29"/>
  <c r="F48" i="29"/>
  <c r="BE6" i="34"/>
  <c r="BD28" i="34"/>
  <c r="AB47" i="29"/>
  <c r="BB28" i="34"/>
  <c r="AB45" i="29"/>
  <c r="AZ28" i="34"/>
  <c r="AB43" i="29"/>
  <c r="AH25" i="34"/>
  <c r="Y24" i="29"/>
  <c r="AE19" i="34"/>
  <c r="S21" i="29"/>
  <c r="AK19" i="34"/>
  <c r="S27" i="29"/>
  <c r="BG12" i="34"/>
  <c r="L50" i="29"/>
  <c r="BK12" i="34"/>
  <c r="L54" i="29"/>
  <c r="L44" i="29"/>
  <c r="BA12" i="34"/>
  <c r="BC12" i="34"/>
  <c r="L46" i="29"/>
  <c r="B148" i="29"/>
  <c r="EV2" i="34"/>
  <c r="EY2" i="34"/>
  <c r="B151" i="29"/>
  <c r="EQ2" i="34"/>
  <c r="B143" i="29"/>
  <c r="Z51" i="29"/>
  <c r="BK26" i="34"/>
  <c r="Z54" i="29"/>
  <c r="Z52" i="29"/>
  <c r="BI26" i="34"/>
  <c r="AD21" i="34"/>
  <c r="U20" i="29"/>
  <c r="AI21" i="34"/>
  <c r="U25" i="29"/>
  <c r="AF15" i="34"/>
  <c r="O22" i="29"/>
  <c r="AD11" i="34"/>
  <c r="K20" i="29"/>
  <c r="AI11" i="34"/>
  <c r="K25" i="29"/>
  <c r="AJ11" i="34"/>
  <c r="K26" i="29"/>
  <c r="AF7" i="34"/>
  <c r="G22" i="29"/>
  <c r="AF27" i="34"/>
  <c r="AA22" i="29"/>
  <c r="AD23" i="34"/>
  <c r="W20" i="29"/>
  <c r="AI23" i="34"/>
  <c r="W25" i="29"/>
  <c r="AJ23" i="34"/>
  <c r="W26" i="29"/>
  <c r="N46" i="29"/>
  <c r="BC14" i="34"/>
  <c r="BK14" i="34"/>
  <c r="N54" i="29"/>
  <c r="AZ14" i="34"/>
  <c r="N43" i="29"/>
  <c r="AV14" i="34"/>
  <c r="N39" i="29"/>
  <c r="AD17" i="34"/>
  <c r="Q20" i="29"/>
  <c r="AI17" i="34"/>
  <c r="Q25" i="29"/>
  <c r="AG13" i="34"/>
  <c r="M23" i="29"/>
  <c r="AK13" i="34"/>
  <c r="M27" i="29"/>
  <c r="AI9" i="34"/>
  <c r="I25" i="29"/>
  <c r="AI5" i="34"/>
  <c r="E25" i="29"/>
  <c r="E20" i="29"/>
  <c r="AD5" i="34"/>
  <c r="D60" i="42"/>
  <c r="F162" i="42" s="1"/>
  <c r="E162" i="42" s="1"/>
  <c r="O13" i="29"/>
  <c r="Y15" i="34"/>
  <c r="Q14" i="29"/>
  <c r="Z17" i="34"/>
  <c r="I46" i="29"/>
  <c r="BC9" i="34"/>
  <c r="BA9" i="34"/>
  <c r="I44" i="29"/>
  <c r="C55" i="29"/>
  <c r="BL3" i="34"/>
  <c r="Z10" i="34"/>
  <c r="J14" i="29"/>
  <c r="Z18" i="34"/>
  <c r="R14" i="29"/>
  <c r="BL17" i="34"/>
  <c r="Q55" i="29"/>
  <c r="M43" i="29"/>
  <c r="AZ13" i="34"/>
  <c r="BE13" i="34"/>
  <c r="M48" i="29"/>
  <c r="G12" i="29"/>
  <c r="X7" i="34"/>
  <c r="Y14" i="29"/>
  <c r="Z25" i="34"/>
  <c r="Z26" i="34"/>
  <c r="Z14" i="29"/>
  <c r="I20" i="29"/>
  <c r="BH26" i="34"/>
  <c r="I22" i="29"/>
  <c r="F54" i="29"/>
  <c r="W14" i="29"/>
  <c r="Z23" i="34"/>
  <c r="BM20" i="34"/>
  <c r="T56" i="29"/>
  <c r="AA55" i="29"/>
  <c r="BL27" i="34"/>
  <c r="BF9" i="34"/>
  <c r="I49" i="29"/>
  <c r="BJ9" i="34"/>
  <c r="I53" i="29"/>
  <c r="E14" i="29"/>
  <c r="Z5" i="34"/>
  <c r="D11" i="29"/>
  <c r="W4" i="34"/>
  <c r="AW4" i="34"/>
  <c r="D40" i="29"/>
  <c r="AW11" i="34"/>
  <c r="K40" i="29"/>
  <c r="M44" i="29"/>
  <c r="BA13" i="34"/>
  <c r="AA13" i="34"/>
  <c r="M17" i="29"/>
  <c r="BC13" i="34"/>
  <c r="M46" i="29"/>
  <c r="V11" i="29"/>
  <c r="W22" i="34"/>
  <c r="H56" i="29"/>
  <c r="BM8" i="34"/>
  <c r="BM4" i="34"/>
  <c r="D56" i="29"/>
  <c r="BL8" i="34"/>
  <c r="H55" i="29"/>
  <c r="Z9" i="34"/>
  <c r="I14" i="29"/>
  <c r="AU35" i="34"/>
  <c r="BJ26" i="34"/>
  <c r="Z48" i="29"/>
  <c r="AU6" i="34"/>
  <c r="J51" i="29"/>
  <c r="F53" i="29"/>
  <c r="J44" i="29"/>
  <c r="J39" i="29"/>
  <c r="BL4" i="34"/>
  <c r="D55" i="29"/>
  <c r="E56" i="29"/>
  <c r="BM5" i="34"/>
  <c r="BL2" i="34"/>
  <c r="B55" i="29"/>
  <c r="BD9" i="34"/>
  <c r="I47" i="29"/>
  <c r="I45" i="29"/>
  <c r="BB9" i="34"/>
  <c r="AZ9" i="34"/>
  <c r="I43" i="29"/>
  <c r="U40" i="29"/>
  <c r="AW21" i="34"/>
  <c r="Z13" i="29"/>
  <c r="Y26" i="34"/>
  <c r="W23" i="34"/>
  <c r="W11" i="29"/>
  <c r="AA41" i="29"/>
  <c r="AX27" i="34"/>
  <c r="O56" i="29"/>
  <c r="BM15" i="34"/>
  <c r="G40" i="29"/>
  <c r="AW7" i="34"/>
  <c r="F13" i="29"/>
  <c r="Y6" i="34"/>
  <c r="X8" i="34"/>
  <c r="H12" i="29"/>
  <c r="AX11" i="34"/>
  <c r="K41" i="29"/>
  <c r="O55" i="29"/>
  <c r="BL15" i="34"/>
  <c r="AX7" i="34"/>
  <c r="G41" i="29"/>
  <c r="BM17" i="34"/>
  <c r="Q56" i="29"/>
  <c r="BJ13" i="34"/>
  <c r="M53" i="29"/>
  <c r="M49" i="29"/>
  <c r="BF13" i="34"/>
  <c r="AU13" i="34"/>
  <c r="M38" i="29"/>
  <c r="U13" i="29"/>
  <c r="Y21" i="34"/>
  <c r="BM3" i="34"/>
  <c r="C56" i="29"/>
  <c r="K55" i="29"/>
  <c r="BL11" i="34"/>
  <c r="Z8" i="34"/>
  <c r="H14" i="29"/>
  <c r="X14" i="29"/>
  <c r="Z24" i="34"/>
  <c r="BM2" i="34"/>
  <c r="B56" i="29"/>
  <c r="W27" i="34"/>
  <c r="AA11" i="29"/>
  <c r="BL20" i="34"/>
  <c r="T55" i="29"/>
  <c r="AX4" i="34"/>
  <c r="D41" i="29"/>
  <c r="AX3" i="34"/>
  <c r="C41" i="29"/>
  <c r="BM27" i="34"/>
  <c r="AA56" i="29"/>
  <c r="O12" i="29"/>
  <c r="X15" i="34"/>
  <c r="I54" i="29"/>
  <c r="BK9" i="34"/>
  <c r="W9" i="34"/>
  <c r="I11" i="29"/>
  <c r="BL16" i="34"/>
  <c r="P55" i="29"/>
  <c r="Y2" i="34"/>
  <c r="B13" i="29"/>
  <c r="BM21" i="34"/>
  <c r="U56" i="29"/>
  <c r="M51" i="29"/>
  <c r="BH13" i="34"/>
  <c r="BK13" i="34"/>
  <c r="M54" i="29"/>
  <c r="AC11" i="29"/>
  <c r="W29" i="34"/>
  <c r="F38" i="29"/>
  <c r="T40" i="29"/>
  <c r="AW20" i="34"/>
  <c r="BL7" i="34"/>
  <c r="G55" i="29"/>
  <c r="Z4" i="34"/>
  <c r="D14" i="29"/>
  <c r="AV9" i="34"/>
  <c r="I39" i="29"/>
  <c r="I51" i="29"/>
  <c r="BH9" i="34"/>
  <c r="Z7" i="34"/>
  <c r="G14" i="29"/>
  <c r="AX2" i="34"/>
  <c r="B41" i="29"/>
  <c r="BM16" i="34"/>
  <c r="P56" i="29"/>
  <c r="N13" i="29"/>
  <c r="Y14" i="34"/>
  <c r="W18" i="34"/>
  <c r="R11" i="29"/>
  <c r="E55" i="29"/>
  <c r="BL5" i="34"/>
  <c r="Y11" i="34"/>
  <c r="K13" i="29"/>
  <c r="M50" i="29"/>
  <c r="BG13" i="34"/>
  <c r="BC35" i="34"/>
  <c r="BE26" i="34"/>
  <c r="K56" i="29"/>
  <c r="BM11" i="34"/>
  <c r="B12" i="29"/>
  <c r="X2" i="34"/>
  <c r="H40" i="29"/>
  <c r="AW8" i="34"/>
  <c r="Z16" i="34"/>
  <c r="P14" i="29"/>
  <c r="I48" i="29"/>
  <c r="BE9" i="34"/>
  <c r="AU9" i="34"/>
  <c r="I38" i="29"/>
  <c r="BI9" i="34"/>
  <c r="I52" i="29"/>
  <c r="BG9" i="34"/>
  <c r="I50" i="29"/>
  <c r="AX17" i="34"/>
  <c r="Q41" i="29"/>
  <c r="X3" i="34"/>
  <c r="C12" i="29"/>
  <c r="AI35" i="34"/>
  <c r="AH35" i="34"/>
  <c r="Y12" i="34"/>
  <c r="L13" i="29"/>
  <c r="Y20" i="34"/>
  <c r="T13" i="29"/>
  <c r="M13" i="29"/>
  <c r="Y13" i="34"/>
  <c r="AW5" i="34"/>
  <c r="E40" i="29"/>
  <c r="P40" i="29"/>
  <c r="AW16" i="34"/>
  <c r="AX36" i="34"/>
  <c r="AX35" i="34"/>
  <c r="AX20" i="34"/>
  <c r="T41" i="29"/>
  <c r="AX8" i="34"/>
  <c r="H41" i="29"/>
  <c r="BB13" i="34"/>
  <c r="M45" i="29"/>
  <c r="BI13" i="34"/>
  <c r="M52" i="29"/>
  <c r="AV13" i="34"/>
  <c r="M39" i="29"/>
  <c r="BD13" i="34"/>
  <c r="M47" i="29"/>
  <c r="T29" i="34"/>
  <c r="AC8" i="29"/>
  <c r="W19" i="34"/>
  <c r="S11" i="29"/>
  <c r="BM7" i="34"/>
  <c r="G56" i="29"/>
  <c r="BL21" i="34"/>
  <c r="U55" i="29"/>
  <c r="AG5" i="34"/>
  <c r="E23" i="29"/>
  <c r="N56" i="29"/>
  <c r="BM14" i="34"/>
  <c r="CL25" i="34"/>
  <c r="Y75" i="29"/>
  <c r="CN26" i="34"/>
  <c r="Z77" i="29"/>
  <c r="CN13" i="34"/>
  <c r="M77" i="29"/>
  <c r="CN2" i="34"/>
  <c r="B77" i="29"/>
  <c r="E77" i="29"/>
  <c r="CN5" i="34"/>
  <c r="CN24" i="34"/>
  <c r="X77" i="29"/>
  <c r="CN27" i="34"/>
  <c r="AA77" i="29"/>
  <c r="CL6" i="34"/>
  <c r="F75" i="29"/>
  <c r="U75" i="29"/>
  <c r="CL21" i="34"/>
  <c r="CL24" i="34"/>
  <c r="X75" i="29"/>
  <c r="CN16" i="34"/>
  <c r="P77" i="29"/>
  <c r="K75" i="29"/>
  <c r="CL11" i="34"/>
  <c r="Z75" i="29"/>
  <c r="CL26" i="34"/>
  <c r="AC53" i="29"/>
  <c r="BJ29" i="34"/>
  <c r="AC54" i="29"/>
  <c r="BK29" i="34"/>
  <c r="AC49" i="29"/>
  <c r="BF29" i="34"/>
  <c r="BL12" i="34"/>
  <c r="L55" i="29"/>
  <c r="AB41" i="29"/>
  <c r="AX28" i="34"/>
  <c r="F56" i="29"/>
  <c r="BM6" i="34"/>
  <c r="Y17" i="34"/>
  <c r="Q13" i="29"/>
  <c r="AC26" i="29"/>
  <c r="AJ29" i="34"/>
  <c r="BL14" i="34"/>
  <c r="N55" i="29"/>
  <c r="BL10" i="34"/>
  <c r="J55" i="29"/>
  <c r="F40" i="29"/>
  <c r="AW6" i="34"/>
  <c r="CN3" i="34"/>
  <c r="C77" i="29"/>
  <c r="CL5" i="34"/>
  <c r="E75" i="29"/>
  <c r="AC77" i="29"/>
  <c r="CN29" i="34"/>
  <c r="CL17" i="34"/>
  <c r="Q75" i="29"/>
  <c r="CL22" i="34"/>
  <c r="V75" i="29"/>
  <c r="F77" i="29"/>
  <c r="CN6" i="34"/>
  <c r="CN11" i="34"/>
  <c r="K77" i="29"/>
  <c r="CL9" i="34"/>
  <c r="I75" i="29"/>
  <c r="CL14" i="34"/>
  <c r="N75" i="29"/>
  <c r="H77" i="29"/>
  <c r="CN8" i="34"/>
  <c r="C75" i="29"/>
  <c r="CL3" i="34"/>
  <c r="R75" i="29"/>
  <c r="CL18" i="34"/>
  <c r="AX26" i="34"/>
  <c r="Z41" i="29"/>
  <c r="AW12" i="34"/>
  <c r="L40" i="29"/>
  <c r="AC52" i="29"/>
  <c r="BI29" i="34"/>
  <c r="AC45" i="29"/>
  <c r="BB29" i="34"/>
  <c r="AC38" i="29"/>
  <c r="AU29" i="34"/>
  <c r="AC39" i="29"/>
  <c r="AV29" i="34"/>
  <c r="Z55" i="29"/>
  <c r="BL26" i="34"/>
  <c r="AW28" i="34"/>
  <c r="AB40" i="29"/>
  <c r="AG29" i="34"/>
  <c r="AC23" i="29"/>
  <c r="AC21" i="29"/>
  <c r="AE29" i="34"/>
  <c r="BL28" i="34"/>
  <c r="AB55" i="29"/>
  <c r="BL6" i="34"/>
  <c r="F55" i="29"/>
  <c r="F41" i="29"/>
  <c r="AX6" i="34"/>
  <c r="O75" i="29"/>
  <c r="CL15" i="34"/>
  <c r="H75" i="29"/>
  <c r="CL8" i="34"/>
  <c r="AB77" i="29"/>
  <c r="CN28" i="34"/>
  <c r="G75" i="29"/>
  <c r="CL7" i="34"/>
  <c r="CL12" i="34"/>
  <c r="L75" i="29"/>
  <c r="CL23" i="34"/>
  <c r="W75" i="29"/>
  <c r="CL28" i="34"/>
  <c r="AB75" i="29"/>
  <c r="CN14" i="34"/>
  <c r="N77" i="29"/>
  <c r="CN25" i="34"/>
  <c r="Y77" i="29"/>
  <c r="CL4" i="34"/>
  <c r="D75" i="29"/>
  <c r="AA75" i="29"/>
  <c r="CL27" i="34"/>
  <c r="O77" i="29"/>
  <c r="CN15" i="34"/>
  <c r="CL10" i="34"/>
  <c r="J75" i="29"/>
  <c r="J56" i="29"/>
  <c r="BM10" i="34"/>
  <c r="BG29" i="34"/>
  <c r="AC50" i="29"/>
  <c r="AC43" i="29"/>
  <c r="AZ29" i="34"/>
  <c r="BH29" i="34"/>
  <c r="AC51" i="29"/>
  <c r="AC48" i="29"/>
  <c r="BE29" i="34"/>
  <c r="BM26" i="34"/>
  <c r="Z56" i="29"/>
  <c r="AF29" i="34"/>
  <c r="AC22" i="29"/>
  <c r="AC20" i="29"/>
  <c r="AD29" i="34"/>
  <c r="AH29" i="34"/>
  <c r="AC24" i="29"/>
  <c r="AW10" i="34"/>
  <c r="J40" i="29"/>
  <c r="N41" i="29"/>
  <c r="AX14" i="34"/>
  <c r="L56" i="29"/>
  <c r="BM12" i="34"/>
  <c r="W5" i="34"/>
  <c r="E11" i="29"/>
  <c r="AX12" i="34"/>
  <c r="L41" i="29"/>
  <c r="BM28" i="34"/>
  <c r="AB56" i="29"/>
  <c r="CL20" i="34"/>
  <c r="T75" i="29"/>
  <c r="CN10" i="34"/>
  <c r="J77" i="29"/>
  <c r="L77" i="29"/>
  <c r="CN12" i="34"/>
  <c r="CN17" i="34"/>
  <c r="Q77" i="29"/>
  <c r="AC75" i="29"/>
  <c r="CL29" i="34"/>
  <c r="M75" i="29"/>
  <c r="CL13" i="34"/>
  <c r="CL16" i="34"/>
  <c r="P75" i="29"/>
  <c r="CN4" i="34"/>
  <c r="D77" i="29"/>
  <c r="I77" i="29"/>
  <c r="CN9" i="34"/>
  <c r="S75" i="29"/>
  <c r="CL19" i="34"/>
  <c r="G77" i="29"/>
  <c r="CN7" i="34"/>
  <c r="CL2" i="34"/>
  <c r="B75" i="29"/>
  <c r="AH43" i="42"/>
  <c r="AH44" i="42" s="1"/>
  <c r="N40" i="29"/>
  <c r="AW14" i="34"/>
  <c r="AW26" i="34"/>
  <c r="Z40" i="29"/>
  <c r="AC44" i="29"/>
  <c r="BA29" i="34"/>
  <c r="BD29" i="34"/>
  <c r="AC47" i="29"/>
  <c r="AC17" i="29"/>
  <c r="AA29" i="34"/>
  <c r="AC46" i="29"/>
  <c r="BC29" i="34"/>
  <c r="AX10" i="34"/>
  <c r="J41" i="29"/>
  <c r="AB11" i="29"/>
  <c r="W28" i="34"/>
  <c r="AK29" i="34"/>
  <c r="AC27" i="29"/>
  <c r="AI29" i="34"/>
  <c r="AC25" i="29"/>
  <c r="X29" i="34"/>
  <c r="AC12" i="29"/>
  <c r="Y3" i="34"/>
  <c r="C13" i="29"/>
  <c r="AV35" i="34"/>
  <c r="AV36" i="34"/>
  <c r="Y22" i="34"/>
  <c r="V13" i="29"/>
  <c r="AW9" i="34"/>
  <c r="I40" i="29"/>
  <c r="BL9" i="34"/>
  <c r="I55" i="29"/>
  <c r="I41" i="29"/>
  <c r="AX9" i="34"/>
  <c r="Y9" i="34"/>
  <c r="I13" i="29"/>
  <c r="AA13" i="29"/>
  <c r="Y27" i="34"/>
  <c r="M40" i="29"/>
  <c r="AW13" i="34"/>
  <c r="AZ36" i="34"/>
  <c r="BB36" i="34"/>
  <c r="BF35" i="34"/>
  <c r="M55" i="29"/>
  <c r="BL13" i="34"/>
  <c r="Y19" i="34"/>
  <c r="S13" i="29"/>
  <c r="Y18" i="34"/>
  <c r="R13" i="29"/>
  <c r="BM13" i="34"/>
  <c r="M56" i="29"/>
  <c r="M41" i="29"/>
  <c r="AX13" i="34"/>
  <c r="AK35" i="34"/>
  <c r="AJ35" i="34"/>
  <c r="AM35" i="34"/>
  <c r="Y4" i="34"/>
  <c r="D13" i="29"/>
  <c r="Z29" i="34"/>
  <c r="AC14" i="29"/>
  <c r="BD35" i="34"/>
  <c r="BD36" i="34"/>
  <c r="Y7" i="34"/>
  <c r="G13" i="29"/>
  <c r="Y8" i="34"/>
  <c r="H13" i="29"/>
  <c r="W13" i="29"/>
  <c r="Y23" i="34"/>
  <c r="BM9" i="34"/>
  <c r="I56" i="29"/>
  <c r="Q9" i="34"/>
  <c r="I5" i="29"/>
  <c r="Q10" i="34"/>
  <c r="J5" i="29"/>
  <c r="Q5" i="34"/>
  <c r="E5" i="29"/>
  <c r="Q4" i="34"/>
  <c r="D5" i="29"/>
  <c r="BL29" i="34"/>
  <c r="AC55" i="29"/>
  <c r="AX29" i="34"/>
  <c r="AC41" i="29"/>
  <c r="F5" i="29"/>
  <c r="Q6" i="34"/>
  <c r="Q29" i="34"/>
  <c r="AC5" i="29"/>
  <c r="Q3" i="34"/>
  <c r="C5" i="29"/>
  <c r="Q2" i="34"/>
  <c r="B5" i="29"/>
  <c r="AB13" i="29"/>
  <c r="Y28" i="34"/>
  <c r="Q7" i="34"/>
  <c r="G5" i="29"/>
  <c r="Y5" i="34"/>
  <c r="E13" i="29"/>
  <c r="Q8" i="34"/>
  <c r="H5" i="29"/>
  <c r="AC56" i="29"/>
  <c r="BM29" i="34"/>
  <c r="AW29" i="34"/>
  <c r="AC40" i="29"/>
  <c r="Q11" i="34"/>
  <c r="K5" i="29"/>
  <c r="Y29" i="34"/>
  <c r="AC13" i="29"/>
  <c r="AT36" i="34"/>
  <c r="BF36" i="34"/>
  <c r="X62" i="42"/>
  <c r="X63" i="42"/>
  <c r="X59" i="42"/>
  <c r="X57" i="42"/>
  <c r="X55" i="42"/>
  <c r="X56" i="42"/>
  <c r="X65" i="42"/>
  <c r="X58" i="42"/>
  <c r="X61" i="42"/>
  <c r="X54" i="42"/>
  <c r="X60" i="42"/>
  <c r="X64" i="42"/>
  <c r="X50" i="42"/>
  <c r="X52" i="42" s="1"/>
  <c r="V65" i="44"/>
  <c r="V49" i="44"/>
  <c r="V51" i="44" s="1"/>
  <c r="V60" i="44"/>
  <c r="V59" i="44"/>
  <c r="J56" i="42"/>
  <c r="X49" i="42"/>
  <c r="X51" i="42" s="1"/>
  <c r="T23" i="44"/>
  <c r="I64" i="50"/>
  <c r="I59" i="50"/>
  <c r="I61" i="50"/>
  <c r="I57" i="50"/>
  <c r="I49" i="50"/>
  <c r="I51" i="50" s="1"/>
  <c r="I54" i="50"/>
  <c r="I62" i="50"/>
  <c r="I58" i="50"/>
  <c r="I50" i="50"/>
  <c r="I52" i="50" s="1"/>
  <c r="I63" i="50"/>
  <c r="I55" i="50"/>
  <c r="I65" i="50"/>
  <c r="I60" i="50"/>
  <c r="I56" i="50"/>
  <c r="H56" i="50"/>
  <c r="L56" i="42"/>
  <c r="K57" i="42"/>
  <c r="P54" i="42"/>
  <c r="V24" i="42"/>
  <c r="V98" i="42" s="1"/>
  <c r="W50" i="44"/>
  <c r="W52" i="44" s="1"/>
  <c r="X61" i="44"/>
  <c r="Q62" i="44"/>
  <c r="W65" i="44"/>
  <c r="T94" i="48"/>
  <c r="K98" i="48"/>
  <c r="E94" i="48"/>
  <c r="B10" i="44"/>
  <c r="W24" i="44" s="1"/>
  <c r="W57" i="44"/>
  <c r="H64" i="42"/>
  <c r="W60" i="44"/>
  <c r="K64" i="42"/>
  <c r="P62" i="42"/>
  <c r="K30" i="42"/>
  <c r="W49" i="44"/>
  <c r="W51" i="44" s="1"/>
  <c r="X62" i="44"/>
  <c r="Q54" i="44"/>
  <c r="Q56" i="44"/>
  <c r="W59" i="44"/>
  <c r="K63" i="42"/>
  <c r="K62" i="42"/>
  <c r="P65" i="42"/>
  <c r="Q59" i="44"/>
  <c r="W58" i="44"/>
  <c r="P49" i="42"/>
  <c r="P51" i="42" s="1"/>
  <c r="Q30" i="42"/>
  <c r="Q61" i="44"/>
  <c r="W56" i="44"/>
  <c r="H49" i="42"/>
  <c r="H51" i="42" s="1"/>
  <c r="E30" i="42"/>
  <c r="W55" i="44"/>
  <c r="F56" i="50"/>
  <c r="M56" i="50"/>
  <c r="E63" i="51"/>
  <c r="I50" i="51"/>
  <c r="I52" i="51" s="1"/>
  <c r="D54" i="51"/>
  <c r="D94" i="51"/>
  <c r="E57" i="51"/>
  <c r="E65" i="51"/>
  <c r="E55" i="51"/>
  <c r="I65" i="51"/>
  <c r="I57" i="51"/>
  <c r="I59" i="51"/>
  <c r="I63" i="51"/>
  <c r="I55" i="51"/>
  <c r="D55" i="51"/>
  <c r="M98" i="51"/>
  <c r="R56" i="50"/>
  <c r="B54" i="51"/>
  <c r="B156" i="51" s="1"/>
  <c r="B140" i="49"/>
  <c r="B140" i="42"/>
  <c r="I60" i="51"/>
  <c r="B59" i="51"/>
  <c r="C161" i="51" s="1"/>
  <c r="D161" i="51" s="1"/>
  <c r="U64" i="50"/>
  <c r="E64" i="51"/>
  <c r="I58" i="51"/>
  <c r="I54" i="51"/>
  <c r="B147" i="49"/>
  <c r="E50" i="51"/>
  <c r="E52" i="51" s="1"/>
  <c r="E60" i="51"/>
  <c r="D50" i="51"/>
  <c r="D52" i="51" s="1"/>
  <c r="B143" i="49"/>
  <c r="F49" i="50"/>
  <c r="F51" i="50" s="1"/>
  <c r="U61" i="50"/>
  <c r="E62" i="51"/>
  <c r="E56" i="51"/>
  <c r="D65" i="51"/>
  <c r="B146" i="49"/>
  <c r="D57" i="51"/>
  <c r="E54" i="51"/>
  <c r="B61" i="51"/>
  <c r="C163" i="51" s="1"/>
  <c r="D163" i="51" s="1"/>
  <c r="D64" i="51"/>
  <c r="U58" i="50"/>
  <c r="D58" i="51"/>
  <c r="C55" i="42"/>
  <c r="C63" i="42"/>
  <c r="O64" i="44"/>
  <c r="O61" i="44"/>
  <c r="O56" i="44"/>
  <c r="O54" i="44"/>
  <c r="O49" i="44"/>
  <c r="O51" i="44" s="1"/>
  <c r="O65" i="44"/>
  <c r="O50" i="44"/>
  <c r="O52" i="44" s="1"/>
  <c r="O58" i="44"/>
  <c r="O62" i="44"/>
  <c r="O55" i="44"/>
  <c r="O63" i="44"/>
  <c r="O60" i="44"/>
  <c r="O59" i="44"/>
  <c r="C64" i="42"/>
  <c r="B98" i="42"/>
  <c r="N98" i="42"/>
  <c r="O98" i="42"/>
  <c r="I94" i="42"/>
  <c r="N94" i="42"/>
  <c r="B94" i="42"/>
  <c r="L94" i="42"/>
  <c r="D94" i="42"/>
  <c r="S94" i="42"/>
  <c r="C94" i="42"/>
  <c r="X94" i="42"/>
  <c r="R94" i="42"/>
  <c r="W94" i="42"/>
  <c r="T94" i="42"/>
  <c r="M94" i="42"/>
  <c r="K94" i="42"/>
  <c r="U94" i="42"/>
  <c r="C50" i="42"/>
  <c r="C52" i="42" s="1"/>
  <c r="R56" i="49"/>
  <c r="B158" i="49" s="1"/>
  <c r="R57" i="49"/>
  <c r="C159" i="49" s="1"/>
  <c r="D159" i="49" s="1"/>
  <c r="R58" i="49"/>
  <c r="B160" i="49" s="1"/>
  <c r="D160" i="49" s="1"/>
  <c r="R59" i="49"/>
  <c r="C161" i="49" s="1"/>
  <c r="D161" i="49" s="1"/>
  <c r="R61" i="49"/>
  <c r="C163" i="49" s="1"/>
  <c r="D163" i="49" s="1"/>
  <c r="R63" i="49"/>
  <c r="C165" i="49" s="1"/>
  <c r="D165" i="49" s="1"/>
  <c r="R54" i="49"/>
  <c r="B156" i="49" s="1"/>
  <c r="R50" i="49"/>
  <c r="R52" i="49" s="1"/>
  <c r="C155" i="49" s="1"/>
  <c r="D155" i="49" s="1"/>
  <c r="R60" i="49"/>
  <c r="B162" i="49" s="1"/>
  <c r="R62" i="49"/>
  <c r="B164" i="49" s="1"/>
  <c r="R51" i="49"/>
  <c r="B154" i="49" s="1"/>
  <c r="R65" i="49"/>
  <c r="C167" i="49" s="1"/>
  <c r="D167" i="49" s="1"/>
  <c r="R55" i="49"/>
  <c r="R64" i="49"/>
  <c r="B166" i="49" s="1"/>
  <c r="Z98" i="49"/>
  <c r="F94" i="49"/>
  <c r="Q94" i="49"/>
  <c r="AB94" i="49"/>
  <c r="G98" i="49"/>
  <c r="R98" i="49"/>
  <c r="AC98" i="49"/>
  <c r="I94" i="49"/>
  <c r="T94" i="49"/>
  <c r="AA94" i="49"/>
  <c r="N98" i="49"/>
  <c r="Y98" i="49"/>
  <c r="E94" i="49"/>
  <c r="P94" i="49"/>
  <c r="W94" i="49"/>
  <c r="J98" i="49"/>
  <c r="U98" i="49"/>
  <c r="B101" i="49"/>
  <c r="Y97" i="49" s="1"/>
  <c r="L94" i="49"/>
  <c r="S94" i="49"/>
  <c r="F98" i="49"/>
  <c r="Q98" i="49"/>
  <c r="AB98" i="49"/>
  <c r="H94" i="49"/>
  <c r="O94" i="49"/>
  <c r="Z94" i="49"/>
  <c r="I98" i="49"/>
  <c r="T98" i="49"/>
  <c r="AA98" i="49"/>
  <c r="G94" i="49"/>
  <c r="V94" i="49"/>
  <c r="E98" i="49"/>
  <c r="P98" i="49"/>
  <c r="W98" i="49"/>
  <c r="J94" i="49"/>
  <c r="U94" i="49"/>
  <c r="D98" i="49"/>
  <c r="K98" i="49"/>
  <c r="X98" i="49"/>
  <c r="L98" i="49"/>
  <c r="H98" i="49"/>
  <c r="V98" i="49"/>
  <c r="X94" i="49"/>
  <c r="B98" i="49"/>
  <c r="D94" i="49"/>
  <c r="R94" i="49"/>
  <c r="S98" i="49"/>
  <c r="N94" i="49"/>
  <c r="O98" i="49"/>
  <c r="B94" i="49"/>
  <c r="C98" i="49"/>
  <c r="M98" i="49"/>
  <c r="K94" i="49"/>
  <c r="Y94" i="49"/>
  <c r="AC94" i="49"/>
  <c r="M94" i="49"/>
  <c r="C94" i="49"/>
  <c r="K50" i="42"/>
  <c r="K52" i="42" s="1"/>
  <c r="K58" i="42"/>
  <c r="C61" i="42"/>
  <c r="H55" i="42"/>
  <c r="R98" i="42"/>
  <c r="T56" i="44"/>
  <c r="T54" i="44"/>
  <c r="C62" i="42"/>
  <c r="Q56" i="42"/>
  <c r="C65" i="42"/>
  <c r="S61" i="48"/>
  <c r="S56" i="48"/>
  <c r="H57" i="42"/>
  <c r="J54" i="48"/>
  <c r="J55" i="48"/>
  <c r="J62" i="48"/>
  <c r="J64" i="48"/>
  <c r="J60" i="48"/>
  <c r="J58" i="48"/>
  <c r="J49" i="48"/>
  <c r="J51" i="48" s="1"/>
  <c r="J65" i="48"/>
  <c r="J63" i="48"/>
  <c r="J61" i="48"/>
  <c r="J59" i="48"/>
  <c r="J50" i="48"/>
  <c r="J52" i="48" s="1"/>
  <c r="J57" i="48"/>
  <c r="J56" i="48"/>
  <c r="M57" i="44"/>
  <c r="M64" i="44"/>
  <c r="V57" i="44"/>
  <c r="Y56" i="44"/>
  <c r="Y49" i="44"/>
  <c r="Y51" i="44" s="1"/>
  <c r="Y59" i="44"/>
  <c r="Y50" i="44"/>
  <c r="Y52" i="44" s="1"/>
  <c r="Y63" i="44"/>
  <c r="Y58" i="44"/>
  <c r="Y55" i="44"/>
  <c r="Y61" i="44"/>
  <c r="Y54" i="44"/>
  <c r="Y60" i="44"/>
  <c r="Y57" i="44"/>
  <c r="Y65" i="44"/>
  <c r="Y64" i="44"/>
  <c r="Y62" i="44"/>
  <c r="C65" i="48"/>
  <c r="C50" i="48"/>
  <c r="C52" i="48" s="1"/>
  <c r="I98" i="48"/>
  <c r="H98" i="48"/>
  <c r="G98" i="48"/>
  <c r="N98" i="48"/>
  <c r="E98" i="48"/>
  <c r="D98" i="48"/>
  <c r="C98" i="48"/>
  <c r="J98" i="48"/>
  <c r="P94" i="48"/>
  <c r="O94" i="48"/>
  <c r="R94" i="48"/>
  <c r="Y94" i="48"/>
  <c r="L94" i="48"/>
  <c r="K94" i="48"/>
  <c r="N94" i="48"/>
  <c r="U94" i="48"/>
  <c r="B101" i="48"/>
  <c r="M97" i="48" s="1"/>
  <c r="D94" i="48"/>
  <c r="C94" i="48"/>
  <c r="F94" i="48"/>
  <c r="M94" i="48"/>
  <c r="V63" i="44"/>
  <c r="V61" i="44"/>
  <c r="J56" i="44"/>
  <c r="X65" i="48"/>
  <c r="X49" i="48"/>
  <c r="X51" i="48" s="1"/>
  <c r="O57" i="48"/>
  <c r="O56" i="48"/>
  <c r="O55" i="48"/>
  <c r="O54" i="48"/>
  <c r="O50" i="48"/>
  <c r="O52" i="48" s="1"/>
  <c r="O64" i="48"/>
  <c r="O62" i="48"/>
  <c r="O60" i="48"/>
  <c r="O58" i="48"/>
  <c r="O49" i="48"/>
  <c r="O51" i="48" s="1"/>
  <c r="O65" i="48"/>
  <c r="O63" i="48"/>
  <c r="O61" i="48"/>
  <c r="O59" i="48"/>
  <c r="B61" i="44"/>
  <c r="V54" i="44"/>
  <c r="P63" i="44"/>
  <c r="P61" i="44"/>
  <c r="P54" i="44"/>
  <c r="P49" i="44"/>
  <c r="P51" i="44" s="1"/>
  <c r="P65" i="44"/>
  <c r="P59" i="44"/>
  <c r="P55" i="44"/>
  <c r="P58" i="44"/>
  <c r="M63" i="48"/>
  <c r="M61" i="48"/>
  <c r="M54" i="48"/>
  <c r="H56" i="44"/>
  <c r="I55" i="48"/>
  <c r="I64" i="48"/>
  <c r="I60" i="48"/>
  <c r="I62" i="48"/>
  <c r="I65" i="48"/>
  <c r="I63" i="48"/>
  <c r="I61" i="48"/>
  <c r="I59" i="48"/>
  <c r="I49" i="48"/>
  <c r="I51" i="48" s="1"/>
  <c r="I57" i="48"/>
  <c r="I58" i="48"/>
  <c r="I56" i="48"/>
  <c r="I50" i="48"/>
  <c r="I52" i="48" s="1"/>
  <c r="I54" i="48"/>
  <c r="K65" i="48"/>
  <c r="K58" i="48"/>
  <c r="K49" i="48"/>
  <c r="K51" i="48" s="1"/>
  <c r="F62" i="48"/>
  <c r="F61" i="48"/>
  <c r="F58" i="48"/>
  <c r="F49" i="48"/>
  <c r="F51" i="48" s="1"/>
  <c r="F56" i="48"/>
  <c r="F64" i="48"/>
  <c r="F65" i="48"/>
  <c r="F60" i="48"/>
  <c r="F59" i="48"/>
  <c r="F50" i="48"/>
  <c r="F52" i="48" s="1"/>
  <c r="F57" i="48"/>
  <c r="F54" i="48"/>
  <c r="F55" i="48"/>
  <c r="P56" i="48"/>
  <c r="W55" i="48"/>
  <c r="B11" i="49"/>
  <c r="B7" i="49"/>
  <c r="B8" i="49" s="1"/>
  <c r="B9" i="49"/>
  <c r="R23" i="49" s="1"/>
  <c r="B10" i="49"/>
  <c r="U24" i="49" s="1"/>
  <c r="L56" i="48"/>
  <c r="L54" i="48"/>
  <c r="L50" i="48"/>
  <c r="L52" i="48" s="1"/>
  <c r="L64" i="48"/>
  <c r="L62" i="48"/>
  <c r="L60" i="48"/>
  <c r="L58" i="48"/>
  <c r="L65" i="48"/>
  <c r="L63" i="48"/>
  <c r="L61" i="48"/>
  <c r="L59" i="48"/>
  <c r="L57" i="48"/>
  <c r="L55" i="48"/>
  <c r="L49" i="48"/>
  <c r="L51" i="48" s="1"/>
  <c r="I61" i="49"/>
  <c r="X54" i="50"/>
  <c r="X64" i="50"/>
  <c r="X63" i="50"/>
  <c r="X56" i="50"/>
  <c r="X62" i="50"/>
  <c r="X60" i="50"/>
  <c r="X50" i="50"/>
  <c r="X52" i="50" s="1"/>
  <c r="X59" i="50"/>
  <c r="X55" i="50"/>
  <c r="X65" i="50"/>
  <c r="X57" i="50"/>
  <c r="X61" i="50"/>
  <c r="X58" i="50"/>
  <c r="V54" i="48"/>
  <c r="V50" i="48"/>
  <c r="V52" i="48" s="1"/>
  <c r="V65" i="48"/>
  <c r="V63" i="48"/>
  <c r="V61" i="48"/>
  <c r="V64" i="48"/>
  <c r="V62" i="48"/>
  <c r="V60" i="48"/>
  <c r="V58" i="48"/>
  <c r="V49" i="48"/>
  <c r="V51" i="48" s="1"/>
  <c r="V55" i="48"/>
  <c r="V56" i="48"/>
  <c r="V59" i="48"/>
  <c r="V57" i="48"/>
  <c r="H63" i="48"/>
  <c r="H61" i="48"/>
  <c r="H55" i="48"/>
  <c r="H50" i="48"/>
  <c r="H52" i="48" s="1"/>
  <c r="Y61" i="48"/>
  <c r="Y59" i="48"/>
  <c r="Y58" i="48"/>
  <c r="Y64" i="48"/>
  <c r="N56" i="48"/>
  <c r="N54" i="48"/>
  <c r="N50" i="48"/>
  <c r="N52" i="48" s="1"/>
  <c r="N58" i="48"/>
  <c r="N49" i="48"/>
  <c r="N51" i="48" s="1"/>
  <c r="N57" i="48"/>
  <c r="N55" i="48"/>
  <c r="N65" i="48"/>
  <c r="N63" i="48"/>
  <c r="N61" i="48"/>
  <c r="N64" i="48"/>
  <c r="N62" i="48"/>
  <c r="N60" i="48"/>
  <c r="N59" i="48"/>
  <c r="Q57" i="48"/>
  <c r="C159" i="48" s="1"/>
  <c r="D159" i="48" s="1"/>
  <c r="Q55" i="48"/>
  <c r="C157" i="48" s="1"/>
  <c r="D157" i="48" s="1"/>
  <c r="Q65" i="48"/>
  <c r="C167" i="48" s="1"/>
  <c r="D167" i="48" s="1"/>
  <c r="Q63" i="48"/>
  <c r="C165" i="48" s="1"/>
  <c r="D165" i="48" s="1"/>
  <c r="Q61" i="48"/>
  <c r="C163" i="48" s="1"/>
  <c r="D163" i="48" s="1"/>
  <c r="Q59" i="48"/>
  <c r="C161" i="48" s="1"/>
  <c r="D161" i="48" s="1"/>
  <c r="Q64" i="48"/>
  <c r="B166" i="48" s="1"/>
  <c r="Q62" i="48"/>
  <c r="B164" i="48" s="1"/>
  <c r="B165" i="48" s="1"/>
  <c r="Q60" i="48"/>
  <c r="B162" i="48" s="1"/>
  <c r="D162" i="48" s="1"/>
  <c r="Q58" i="48"/>
  <c r="B160" i="48" s="1"/>
  <c r="D160" i="48" s="1"/>
  <c r="Q56" i="48"/>
  <c r="B158" i="48" s="1"/>
  <c r="Q49" i="48"/>
  <c r="B152" i="48" s="1"/>
  <c r="D152" i="48" s="1"/>
  <c r="Q50" i="48"/>
  <c r="C153" i="48" s="1"/>
  <c r="D153" i="48" s="1"/>
  <c r="Q54" i="48"/>
  <c r="B156" i="48" s="1"/>
  <c r="D156" i="48" s="1"/>
  <c r="Y54" i="49"/>
  <c r="Y56" i="49"/>
  <c r="Y50" i="49"/>
  <c r="Y52" i="49" s="1"/>
  <c r="Y55" i="49"/>
  <c r="Y63" i="49"/>
  <c r="Y59" i="49"/>
  <c r="Y49" i="49"/>
  <c r="Y51" i="49" s="1"/>
  <c r="Y61" i="49"/>
  <c r="Y62" i="49"/>
  <c r="Y58" i="49"/>
  <c r="Y60" i="49"/>
  <c r="Y57" i="49"/>
  <c r="Y65" i="49"/>
  <c r="Y64" i="49"/>
  <c r="R64" i="48"/>
  <c r="R62" i="48"/>
  <c r="R60" i="48"/>
  <c r="R58" i="48"/>
  <c r="R49" i="48"/>
  <c r="R51" i="48" s="1"/>
  <c r="R56" i="48"/>
  <c r="R50" i="48"/>
  <c r="R52" i="48" s="1"/>
  <c r="R54" i="48"/>
  <c r="R65" i="48"/>
  <c r="R63" i="48"/>
  <c r="R61" i="48"/>
  <c r="R59" i="48"/>
  <c r="R57" i="48"/>
  <c r="R55" i="48"/>
  <c r="O64" i="49"/>
  <c r="O61" i="49"/>
  <c r="O65" i="49"/>
  <c r="O54" i="49"/>
  <c r="O56" i="49"/>
  <c r="O50" i="49"/>
  <c r="O52" i="49" s="1"/>
  <c r="O57" i="49"/>
  <c r="O49" i="49"/>
  <c r="O51" i="49" s="1"/>
  <c r="O55" i="49"/>
  <c r="O62" i="49"/>
  <c r="O58" i="49"/>
  <c r="O59" i="49"/>
  <c r="O63" i="49"/>
  <c r="O60" i="49"/>
  <c r="Q54" i="49"/>
  <c r="Q50" i="49"/>
  <c r="Q52" i="49" s="1"/>
  <c r="Q60" i="49"/>
  <c r="Q62" i="49"/>
  <c r="Q58" i="49"/>
  <c r="Q61" i="49"/>
  <c r="Q55" i="49"/>
  <c r="Q65" i="49"/>
  <c r="Q59" i="49"/>
  <c r="Q56" i="49"/>
  <c r="Q49" i="49"/>
  <c r="Q51" i="49" s="1"/>
  <c r="Q57" i="49"/>
  <c r="Q63" i="49"/>
  <c r="Q64" i="49"/>
  <c r="H62" i="50"/>
  <c r="G59" i="50"/>
  <c r="Q62" i="50"/>
  <c r="B164" i="50" s="1"/>
  <c r="Q59" i="50"/>
  <c r="C161" i="50" s="1"/>
  <c r="D161" i="50" s="1"/>
  <c r="B65" i="49"/>
  <c r="B64" i="49"/>
  <c r="B49" i="49"/>
  <c r="B51" i="49" s="1"/>
  <c r="B54" i="49"/>
  <c r="B61" i="49"/>
  <c r="B60" i="49"/>
  <c r="AH41" i="49"/>
  <c r="AH42" i="49" s="1"/>
  <c r="B63" i="49"/>
  <c r="B62" i="49"/>
  <c r="AH43" i="49"/>
  <c r="AH44" i="49" s="1"/>
  <c r="B50" i="49"/>
  <c r="B52" i="49" s="1"/>
  <c r="X56" i="49"/>
  <c r="X57" i="49"/>
  <c r="X59" i="49"/>
  <c r="P63" i="49"/>
  <c r="P60" i="49"/>
  <c r="P59" i="49"/>
  <c r="P64" i="49"/>
  <c r="P61" i="49"/>
  <c r="P65" i="49"/>
  <c r="P54" i="49"/>
  <c r="P56" i="49"/>
  <c r="P50" i="49"/>
  <c r="P52" i="49" s="1"/>
  <c r="P57" i="49"/>
  <c r="P49" i="49"/>
  <c r="P51" i="49" s="1"/>
  <c r="P55" i="49"/>
  <c r="P62" i="49"/>
  <c r="P58" i="49"/>
  <c r="S56" i="49"/>
  <c r="S57" i="49"/>
  <c r="S58" i="49"/>
  <c r="S59" i="49"/>
  <c r="S61" i="49"/>
  <c r="S63" i="49"/>
  <c r="S54" i="49"/>
  <c r="S62" i="49"/>
  <c r="S64" i="49"/>
  <c r="S50" i="49"/>
  <c r="S52" i="49" s="1"/>
  <c r="S55" i="49"/>
  <c r="S49" i="49"/>
  <c r="S51" i="49" s="1"/>
  <c r="S65" i="49"/>
  <c r="G54" i="50"/>
  <c r="T58" i="50"/>
  <c r="C64" i="51"/>
  <c r="J49" i="51"/>
  <c r="J51" i="51" s="1"/>
  <c r="J54" i="51"/>
  <c r="J58" i="51"/>
  <c r="J62" i="51"/>
  <c r="J56" i="51"/>
  <c r="J60" i="51"/>
  <c r="J64" i="51"/>
  <c r="J61" i="51"/>
  <c r="J59" i="51"/>
  <c r="J65" i="51"/>
  <c r="J63" i="51"/>
  <c r="Z54" i="49"/>
  <c r="Z60" i="49"/>
  <c r="L49" i="49"/>
  <c r="L51" i="49" s="1"/>
  <c r="L55" i="49"/>
  <c r="L60" i="49"/>
  <c r="L62" i="49"/>
  <c r="L64" i="49"/>
  <c r="L65" i="49"/>
  <c r="L56" i="49"/>
  <c r="L57" i="49"/>
  <c r="L58" i="49"/>
  <c r="L59" i="49"/>
  <c r="L61" i="49"/>
  <c r="L63" i="49"/>
  <c r="L50" i="49"/>
  <c r="L52" i="49" s="1"/>
  <c r="L54" i="49"/>
  <c r="T56" i="49"/>
  <c r="T57" i="49"/>
  <c r="T58" i="49"/>
  <c r="T59" i="49"/>
  <c r="T61" i="49"/>
  <c r="T63" i="49"/>
  <c r="T50" i="49"/>
  <c r="T52" i="49" s="1"/>
  <c r="T55" i="49"/>
  <c r="T64" i="49"/>
  <c r="T65" i="49"/>
  <c r="T62" i="49"/>
  <c r="T60" i="49"/>
  <c r="T49" i="49"/>
  <c r="T51" i="49" s="1"/>
  <c r="G56" i="50"/>
  <c r="J55" i="50"/>
  <c r="U60" i="50"/>
  <c r="U63" i="50"/>
  <c r="U49" i="50"/>
  <c r="U51" i="50" s="1"/>
  <c r="U50" i="50"/>
  <c r="U52" i="50" s="1"/>
  <c r="C60" i="51"/>
  <c r="H65" i="49"/>
  <c r="H64" i="49"/>
  <c r="H58" i="49"/>
  <c r="H62" i="49"/>
  <c r="H59" i="49"/>
  <c r="H50" i="49"/>
  <c r="H52" i="49" s="1"/>
  <c r="H49" i="49"/>
  <c r="H51" i="49" s="1"/>
  <c r="H60" i="49"/>
  <c r="H56" i="49"/>
  <c r="H55" i="49"/>
  <c r="H61" i="49"/>
  <c r="H54" i="49"/>
  <c r="H57" i="49"/>
  <c r="H63" i="49"/>
  <c r="K49" i="49"/>
  <c r="K51" i="49" s="1"/>
  <c r="K55" i="49"/>
  <c r="K60" i="49"/>
  <c r="K62" i="49"/>
  <c r="K65" i="49"/>
  <c r="K50" i="49"/>
  <c r="K52" i="49" s="1"/>
  <c r="K54" i="49"/>
  <c r="K59" i="49"/>
  <c r="K64" i="49"/>
  <c r="K56" i="49"/>
  <c r="K57" i="49"/>
  <c r="K63" i="49"/>
  <c r="K58" i="49"/>
  <c r="K61" i="49"/>
  <c r="U58" i="49"/>
  <c r="U64" i="49"/>
  <c r="G58" i="50"/>
  <c r="B10" i="50"/>
  <c r="T24" i="50" s="1"/>
  <c r="B9" i="50"/>
  <c r="J23" i="50" s="1"/>
  <c r="B7" i="50"/>
  <c r="B8" i="50" s="1"/>
  <c r="M21" i="50" s="1"/>
  <c r="M22" i="50" s="1"/>
  <c r="B11" i="50"/>
  <c r="H30" i="50" s="1"/>
  <c r="C59" i="51"/>
  <c r="B58" i="51"/>
  <c r="H49" i="51"/>
  <c r="H51" i="51" s="1"/>
  <c r="H54" i="51"/>
  <c r="H58" i="51"/>
  <c r="H62" i="51"/>
  <c r="H57" i="51"/>
  <c r="H61" i="51"/>
  <c r="H65" i="51"/>
  <c r="H59" i="51"/>
  <c r="H63" i="51"/>
  <c r="H60" i="51"/>
  <c r="M62" i="49"/>
  <c r="M65" i="49"/>
  <c r="M57" i="49"/>
  <c r="D50" i="49"/>
  <c r="D52" i="49" s="1"/>
  <c r="D49" i="49"/>
  <c r="D51" i="49" s="1"/>
  <c r="D54" i="49"/>
  <c r="D61" i="49"/>
  <c r="D63" i="49"/>
  <c r="D65" i="49"/>
  <c r="D55" i="49"/>
  <c r="D60" i="49"/>
  <c r="D62" i="49"/>
  <c r="D64" i="49"/>
  <c r="V55" i="49"/>
  <c r="V64" i="49"/>
  <c r="V65" i="49"/>
  <c r="V49" i="49"/>
  <c r="V51" i="49" s="1"/>
  <c r="V56" i="49"/>
  <c r="V57" i="49"/>
  <c r="V58" i="49"/>
  <c r="V59" i="49"/>
  <c r="V61" i="49"/>
  <c r="V63" i="49"/>
  <c r="V54" i="49"/>
  <c r="V60" i="49"/>
  <c r="V62" i="49"/>
  <c r="V50" i="49"/>
  <c r="V52" i="49" s="1"/>
  <c r="G50" i="50"/>
  <c r="G52" i="50" s="1"/>
  <c r="G62" i="50"/>
  <c r="D59" i="51"/>
  <c r="D63" i="51"/>
  <c r="K98" i="51"/>
  <c r="G98" i="51"/>
  <c r="D98" i="51"/>
  <c r="C98" i="51"/>
  <c r="N94" i="51"/>
  <c r="K94" i="51"/>
  <c r="J94" i="51"/>
  <c r="F94" i="51"/>
  <c r="C94" i="51"/>
  <c r="B94" i="51"/>
  <c r="N98" i="51"/>
  <c r="J98" i="51"/>
  <c r="F98" i="51"/>
  <c r="B98" i="51"/>
  <c r="M94" i="51"/>
  <c r="I94" i="51"/>
  <c r="E94" i="51"/>
  <c r="I98" i="51"/>
  <c r="E98" i="51"/>
  <c r="H94" i="51"/>
  <c r="L94" i="51"/>
  <c r="G94" i="51"/>
  <c r="L98" i="51"/>
  <c r="E54" i="49"/>
  <c r="F50" i="49"/>
  <c r="F52" i="49" s="1"/>
  <c r="F155" i="49" s="1"/>
  <c r="E155" i="49" s="1"/>
  <c r="F54" i="49"/>
  <c r="F61" i="49"/>
  <c r="F163" i="49" s="1"/>
  <c r="E163" i="49" s="1"/>
  <c r="F63" i="49"/>
  <c r="F165" i="49" s="1"/>
  <c r="E165" i="49" s="1"/>
  <c r="F49" i="49"/>
  <c r="F51" i="49" s="1"/>
  <c r="F154" i="49" s="1"/>
  <c r="E154" i="49" s="1"/>
  <c r="F65" i="49"/>
  <c r="F167" i="49" s="1"/>
  <c r="E167" i="49" s="1"/>
  <c r="F64" i="49"/>
  <c r="F166" i="49" s="1"/>
  <c r="E166" i="49" s="1"/>
  <c r="F62" i="49"/>
  <c r="F164" i="49" s="1"/>
  <c r="E164" i="49" s="1"/>
  <c r="F60" i="49"/>
  <c r="F162" i="49" s="1"/>
  <c r="E162" i="49" s="1"/>
  <c r="F55" i="49"/>
  <c r="F157" i="49" s="1"/>
  <c r="E157" i="49" s="1"/>
  <c r="C50" i="49"/>
  <c r="C52" i="49" s="1"/>
  <c r="C49" i="49"/>
  <c r="C51" i="49" s="1"/>
  <c r="C54" i="49"/>
  <c r="C61" i="49"/>
  <c r="C63" i="49"/>
  <c r="C65" i="49"/>
  <c r="C55" i="49"/>
  <c r="C64" i="49"/>
  <c r="C62" i="49"/>
  <c r="C60" i="49"/>
  <c r="W50" i="49"/>
  <c r="W52" i="49" s="1"/>
  <c r="W55" i="49"/>
  <c r="W64" i="49"/>
  <c r="W65" i="49"/>
  <c r="W49" i="49"/>
  <c r="W51" i="49" s="1"/>
  <c r="W56" i="49"/>
  <c r="W57" i="49"/>
  <c r="W58" i="49"/>
  <c r="W59" i="49"/>
  <c r="W61" i="49"/>
  <c r="W63" i="49"/>
  <c r="W54" i="49"/>
  <c r="W62" i="49"/>
  <c r="W60" i="49"/>
  <c r="H61" i="50"/>
  <c r="G61" i="50"/>
  <c r="G64" i="50"/>
  <c r="C62" i="51"/>
  <c r="C49" i="51"/>
  <c r="C51" i="51" s="1"/>
  <c r="C57" i="51"/>
  <c r="C61" i="51"/>
  <c r="C65" i="51"/>
  <c r="C50" i="51"/>
  <c r="C52" i="51" s="1"/>
  <c r="C55" i="51"/>
  <c r="C63" i="51"/>
  <c r="C56" i="51"/>
  <c r="J55" i="49"/>
  <c r="J59" i="49"/>
  <c r="J61" i="49"/>
  <c r="J63" i="49"/>
  <c r="J65" i="49"/>
  <c r="J60" i="49"/>
  <c r="J62" i="49"/>
  <c r="J64" i="49"/>
  <c r="J50" i="49"/>
  <c r="J52" i="49" s="1"/>
  <c r="J54" i="49"/>
  <c r="J56" i="49"/>
  <c r="J49" i="49"/>
  <c r="J51" i="49" s="1"/>
  <c r="J58" i="49"/>
  <c r="G49" i="50"/>
  <c r="G51" i="50" s="1"/>
  <c r="J55" i="51"/>
  <c r="G63" i="51"/>
  <c r="N50" i="49"/>
  <c r="N52" i="49" s="1"/>
  <c r="N62" i="49"/>
  <c r="G55" i="50"/>
  <c r="G60" i="50"/>
  <c r="B165" i="51"/>
  <c r="D164" i="51"/>
  <c r="G60" i="49"/>
  <c r="G62" i="49"/>
  <c r="G50" i="49"/>
  <c r="G52" i="49" s="1"/>
  <c r="G54" i="49"/>
  <c r="G64" i="49"/>
  <c r="G61" i="49"/>
  <c r="G63" i="49"/>
  <c r="G55" i="49"/>
  <c r="G65" i="49"/>
  <c r="AA63" i="49"/>
  <c r="J57" i="51"/>
  <c r="B157" i="51"/>
  <c r="D156" i="51"/>
  <c r="R58" i="50"/>
  <c r="D62" i="51"/>
  <c r="B55" i="51"/>
  <c r="AH39" i="51" s="1"/>
  <c r="D60" i="51"/>
  <c r="B50" i="51"/>
  <c r="D56" i="51"/>
  <c r="B160" i="51"/>
  <c r="D160" i="51" s="1"/>
  <c r="D49" i="51"/>
  <c r="D51" i="51" s="1"/>
  <c r="C23" i="50"/>
  <c r="X23" i="50"/>
  <c r="F23" i="50"/>
  <c r="R23" i="50"/>
  <c r="X30" i="50"/>
  <c r="Z30" i="50"/>
  <c r="B30" i="50"/>
  <c r="L30" i="50"/>
  <c r="E30" i="50"/>
  <c r="O30" i="50"/>
  <c r="P30" i="50"/>
  <c r="C30" i="50"/>
  <c r="S24" i="50"/>
  <c r="C157" i="49"/>
  <c r="D157" i="49" s="1"/>
  <c r="AC97" i="49"/>
  <c r="AC18" i="49" s="1"/>
  <c r="AB95" i="49"/>
  <c r="F95" i="49"/>
  <c r="AA97" i="49"/>
  <c r="Z97" i="49"/>
  <c r="P97" i="49"/>
  <c r="N97" i="49"/>
  <c r="I97" i="49"/>
  <c r="I18" i="49" s="1"/>
  <c r="G97" i="49"/>
  <c r="G18" i="49" s="1"/>
  <c r="B97" i="49"/>
  <c r="B18" i="49" s="1"/>
  <c r="AA95" i="49"/>
  <c r="O95" i="49"/>
  <c r="C95" i="49"/>
  <c r="R95" i="49"/>
  <c r="J95" i="49"/>
  <c r="AB30" i="49"/>
  <c r="D30" i="49"/>
  <c r="H30" i="49"/>
  <c r="N30" i="49"/>
  <c r="G30" i="49"/>
  <c r="AC30" i="49"/>
  <c r="I30" i="49"/>
  <c r="Z30" i="49"/>
  <c r="AA30" i="49"/>
  <c r="Y30" i="49"/>
  <c r="C30" i="49"/>
  <c r="B30" i="49"/>
  <c r="F30" i="49"/>
  <c r="O30" i="49"/>
  <c r="F156" i="49"/>
  <c r="E156" i="49" s="1"/>
  <c r="B152" i="49"/>
  <c r="D152" i="49" s="1"/>
  <c r="B161" i="51"/>
  <c r="P95" i="48"/>
  <c r="M95" i="48"/>
  <c r="B46" i="55"/>
  <c r="B48" i="55" s="1"/>
  <c r="B47" i="55"/>
  <c r="P50" i="42" l="1"/>
  <c r="P52" i="42" s="1"/>
  <c r="Q55" i="44"/>
  <c r="E50" i="50"/>
  <c r="P50" i="50"/>
  <c r="P52" i="50" s="1"/>
  <c r="K55" i="51"/>
  <c r="AH47" i="49"/>
  <c r="AH48" i="49" s="1"/>
  <c r="P57" i="42"/>
  <c r="Q50" i="44"/>
  <c r="Q52" i="44" s="1"/>
  <c r="Q65" i="44"/>
  <c r="P64" i="42"/>
  <c r="U50" i="44"/>
  <c r="U52" i="44" s="1"/>
  <c r="Q64" i="44"/>
  <c r="E54" i="50"/>
  <c r="F156" i="50" s="1"/>
  <c r="E156" i="50" s="1"/>
  <c r="P65" i="50"/>
  <c r="U49" i="44"/>
  <c r="U51" i="44" s="1"/>
  <c r="E60" i="50"/>
  <c r="F162" i="50" s="1"/>
  <c r="E162" i="50" s="1"/>
  <c r="I64" i="51"/>
  <c r="Q57" i="44"/>
  <c r="B62" i="42"/>
  <c r="Q49" i="44"/>
  <c r="Q51" i="44" s="1"/>
  <c r="Q58" i="44"/>
  <c r="X98" i="42"/>
  <c r="Q60" i="44"/>
  <c r="E61" i="50"/>
  <c r="F163" i="50" s="1"/>
  <c r="E163" i="50" s="1"/>
  <c r="J64" i="50"/>
  <c r="P57" i="48"/>
  <c r="AA23" i="44"/>
  <c r="F98" i="42"/>
  <c r="D98" i="50"/>
  <c r="W23" i="44"/>
  <c r="J62" i="50"/>
  <c r="I54" i="49"/>
  <c r="I55" i="49"/>
  <c r="P58" i="48"/>
  <c r="J49" i="50"/>
  <c r="J51" i="50" s="1"/>
  <c r="J98" i="42"/>
  <c r="J94" i="48"/>
  <c r="K56" i="51"/>
  <c r="I56" i="49"/>
  <c r="P60" i="48"/>
  <c r="J59" i="50"/>
  <c r="K98" i="42"/>
  <c r="J63" i="50"/>
  <c r="I60" i="49"/>
  <c r="P62" i="48"/>
  <c r="J60" i="50"/>
  <c r="L98" i="42"/>
  <c r="W98" i="48"/>
  <c r="K61" i="51"/>
  <c r="G98" i="50"/>
  <c r="J54" i="50"/>
  <c r="Q50" i="42"/>
  <c r="Q52" i="42" s="1"/>
  <c r="M98" i="42"/>
  <c r="X98" i="48"/>
  <c r="K57" i="51"/>
  <c r="J61" i="50"/>
  <c r="I49" i="49"/>
  <c r="I51" i="49" s="1"/>
  <c r="B161" i="48"/>
  <c r="J50" i="50"/>
  <c r="J52" i="50" s="1"/>
  <c r="I63" i="49"/>
  <c r="P59" i="48"/>
  <c r="J58" i="50"/>
  <c r="AH22" i="42"/>
  <c r="P64" i="48"/>
  <c r="I59" i="49"/>
  <c r="P61" i="48"/>
  <c r="J65" i="50"/>
  <c r="J57" i="50"/>
  <c r="I62" i="49"/>
  <c r="P63" i="48"/>
  <c r="AC23" i="44"/>
  <c r="P98" i="42"/>
  <c r="P49" i="48"/>
  <c r="P51" i="48" s="1"/>
  <c r="I58" i="49"/>
  <c r="P65" i="48"/>
  <c r="S57" i="50"/>
  <c r="E23" i="44"/>
  <c r="Q98" i="42"/>
  <c r="I64" i="49"/>
  <c r="P50" i="48"/>
  <c r="P52" i="48" s="1"/>
  <c r="N57" i="42"/>
  <c r="W98" i="50"/>
  <c r="L94" i="50"/>
  <c r="B7" i="44"/>
  <c r="B8" i="44" s="1"/>
  <c r="B23" i="44"/>
  <c r="E98" i="50"/>
  <c r="I65" i="49"/>
  <c r="P54" i="48"/>
  <c r="M23" i="44"/>
  <c r="I50" i="49"/>
  <c r="I52" i="49" s="1"/>
  <c r="X98" i="50"/>
  <c r="I23" i="44"/>
  <c r="W45" i="42"/>
  <c r="W39" i="42"/>
  <c r="W41" i="42"/>
  <c r="W47" i="42"/>
  <c r="W46" i="42"/>
  <c r="W43" i="42"/>
  <c r="W42" i="42"/>
  <c r="W40" i="42"/>
  <c r="W44" i="42"/>
  <c r="G45" i="42"/>
  <c r="G39" i="42"/>
  <c r="G41" i="42"/>
  <c r="G47" i="42"/>
  <c r="G44" i="42"/>
  <c r="G46" i="42"/>
  <c r="G43" i="42"/>
  <c r="G42" i="42"/>
  <c r="G40" i="42"/>
  <c r="O54" i="42"/>
  <c r="E45" i="42"/>
  <c r="E44" i="42"/>
  <c r="E47" i="42"/>
  <c r="E39" i="42"/>
  <c r="E41" i="42"/>
  <c r="E46" i="42"/>
  <c r="E43" i="42"/>
  <c r="E42" i="42"/>
  <c r="E40" i="42"/>
  <c r="L58" i="42"/>
  <c r="Q45" i="42"/>
  <c r="Q42" i="42"/>
  <c r="Q43" i="42"/>
  <c r="Q44" i="42"/>
  <c r="Q39" i="42"/>
  <c r="Q46" i="42"/>
  <c r="Q41" i="42"/>
  <c r="Q47" i="42"/>
  <c r="Q40" i="42"/>
  <c r="Y23" i="42"/>
  <c r="O45" i="42"/>
  <c r="O43" i="42"/>
  <c r="O44" i="42"/>
  <c r="O42" i="42"/>
  <c r="O41" i="42"/>
  <c r="O46" i="42"/>
  <c r="O39" i="42"/>
  <c r="O40" i="42"/>
  <c r="O47" i="42"/>
  <c r="V47" i="42"/>
  <c r="V46" i="42"/>
  <c r="V44" i="42"/>
  <c r="V45" i="42"/>
  <c r="V39" i="42"/>
  <c r="V41" i="42"/>
  <c r="V43" i="42"/>
  <c r="V42" i="42"/>
  <c r="V40" i="42"/>
  <c r="F45" i="42"/>
  <c r="F44" i="42"/>
  <c r="F47" i="42"/>
  <c r="F39" i="42"/>
  <c r="F41" i="42"/>
  <c r="F46" i="42"/>
  <c r="F43" i="42"/>
  <c r="F42" i="42"/>
  <c r="F40" i="42"/>
  <c r="H56" i="42"/>
  <c r="T46" i="42"/>
  <c r="T47" i="42"/>
  <c r="T44" i="42"/>
  <c r="C147" i="42" s="1"/>
  <c r="T45" i="42"/>
  <c r="C148" i="42" s="1"/>
  <c r="T42" i="42"/>
  <c r="C145" i="42" s="1"/>
  <c r="T40" i="42"/>
  <c r="C143" i="42" s="1"/>
  <c r="T39" i="42"/>
  <c r="C142" i="42" s="1"/>
  <c r="T41" i="42"/>
  <c r="C144" i="42" s="1"/>
  <c r="T43" i="42"/>
  <c r="C146" i="42" s="1"/>
  <c r="D45" i="42"/>
  <c r="D43" i="42"/>
  <c r="D42" i="42"/>
  <c r="D40" i="42"/>
  <c r="D47" i="42"/>
  <c r="D44" i="42"/>
  <c r="D39" i="42"/>
  <c r="D41" i="42"/>
  <c r="D46" i="42"/>
  <c r="J45" i="42"/>
  <c r="J47" i="42"/>
  <c r="J46" i="42"/>
  <c r="J41" i="42"/>
  <c r="J39" i="42"/>
  <c r="J42" i="42"/>
  <c r="J40" i="42"/>
  <c r="J43" i="42"/>
  <c r="J44" i="42"/>
  <c r="S45" i="42"/>
  <c r="S42" i="42"/>
  <c r="S44" i="42"/>
  <c r="S39" i="42"/>
  <c r="S47" i="42"/>
  <c r="S46" i="42"/>
  <c r="S41" i="42"/>
  <c r="S40" i="42"/>
  <c r="S43" i="42"/>
  <c r="C45" i="42"/>
  <c r="C42" i="42"/>
  <c r="C40" i="42"/>
  <c r="C43" i="42"/>
  <c r="C39" i="42"/>
  <c r="C44" i="42"/>
  <c r="C47" i="42"/>
  <c r="C46" i="42"/>
  <c r="C41" i="42"/>
  <c r="R45" i="42"/>
  <c r="R43" i="42"/>
  <c r="R42" i="42"/>
  <c r="R40" i="42"/>
  <c r="R44" i="42"/>
  <c r="R47" i="42"/>
  <c r="R39" i="42"/>
  <c r="R46" i="42"/>
  <c r="R41" i="42"/>
  <c r="H45" i="42"/>
  <c r="H41" i="42"/>
  <c r="H47" i="42"/>
  <c r="H46" i="42"/>
  <c r="H43" i="42"/>
  <c r="H42" i="42"/>
  <c r="H40" i="42"/>
  <c r="H39" i="42"/>
  <c r="H44" i="42"/>
  <c r="H50" i="42"/>
  <c r="H52" i="42" s="1"/>
  <c r="H58" i="42"/>
  <c r="B145" i="42"/>
  <c r="B144" i="42"/>
  <c r="B149" i="42"/>
  <c r="B143" i="42"/>
  <c r="B142" i="42"/>
  <c r="B150" i="42"/>
  <c r="B148" i="42"/>
  <c r="B147" i="42"/>
  <c r="B146" i="42"/>
  <c r="H54" i="42"/>
  <c r="H62" i="42"/>
  <c r="U47" i="42"/>
  <c r="U44" i="42"/>
  <c r="U46" i="42"/>
  <c r="U45" i="42"/>
  <c r="U39" i="42"/>
  <c r="U41" i="42"/>
  <c r="U42" i="42"/>
  <c r="U43" i="42"/>
  <c r="U40" i="42"/>
  <c r="H61" i="42"/>
  <c r="L50" i="42"/>
  <c r="L52" i="42" s="1"/>
  <c r="H63" i="42"/>
  <c r="N45" i="42"/>
  <c r="N41" i="42"/>
  <c r="N42" i="42"/>
  <c r="N40" i="42"/>
  <c r="N43" i="42"/>
  <c r="N44" i="42"/>
  <c r="N47" i="42"/>
  <c r="N46" i="42"/>
  <c r="N39" i="42"/>
  <c r="M45" i="42"/>
  <c r="M39" i="42"/>
  <c r="M41" i="42"/>
  <c r="M42" i="42"/>
  <c r="M40" i="42"/>
  <c r="M43" i="42"/>
  <c r="M44" i="42"/>
  <c r="M46" i="42"/>
  <c r="M47" i="42"/>
  <c r="R64" i="42"/>
  <c r="K45" i="42"/>
  <c r="K39" i="42"/>
  <c r="K41" i="42"/>
  <c r="K42" i="42"/>
  <c r="K40" i="42"/>
  <c r="K43" i="42"/>
  <c r="K44" i="42"/>
  <c r="K46" i="42"/>
  <c r="K47" i="42"/>
  <c r="L54" i="42"/>
  <c r="L45" i="42"/>
  <c r="L47" i="42"/>
  <c r="L42" i="42"/>
  <c r="L40" i="42"/>
  <c r="L39" i="42"/>
  <c r="L41" i="42"/>
  <c r="L46" i="42"/>
  <c r="L44" i="42"/>
  <c r="L43" i="42"/>
  <c r="I45" i="42"/>
  <c r="I46" i="42"/>
  <c r="I43" i="42"/>
  <c r="I42" i="42"/>
  <c r="I40" i="42"/>
  <c r="I39" i="42"/>
  <c r="I44" i="42"/>
  <c r="I41" i="42"/>
  <c r="I47" i="42"/>
  <c r="Y45" i="42"/>
  <c r="Y39" i="42"/>
  <c r="Y43" i="42"/>
  <c r="Y47" i="42"/>
  <c r="Y46" i="42"/>
  <c r="Y42" i="42"/>
  <c r="Y40" i="42"/>
  <c r="Y44" i="42"/>
  <c r="Y41" i="42"/>
  <c r="M23" i="42"/>
  <c r="P45" i="42"/>
  <c r="P39" i="42"/>
  <c r="P43" i="42"/>
  <c r="P44" i="42"/>
  <c r="P46" i="42"/>
  <c r="P47" i="42"/>
  <c r="P41" i="42"/>
  <c r="P42" i="42"/>
  <c r="P40" i="42"/>
  <c r="Q46" i="50"/>
  <c r="Q44" i="50"/>
  <c r="C147" i="50" s="1"/>
  <c r="Q47" i="50"/>
  <c r="Q40" i="50"/>
  <c r="C143" i="50" s="1"/>
  <c r="Q41" i="50"/>
  <c r="C144" i="50" s="1"/>
  <c r="Q42" i="50"/>
  <c r="C145" i="50" s="1"/>
  <c r="Q39" i="50"/>
  <c r="C142" i="50" s="1"/>
  <c r="Q43" i="50"/>
  <c r="C146" i="50" s="1"/>
  <c r="Q45" i="50"/>
  <c r="C148" i="50" s="1"/>
  <c r="V59" i="50"/>
  <c r="Y98" i="50"/>
  <c r="S98" i="50"/>
  <c r="Q58" i="50"/>
  <c r="B160" i="50" s="1"/>
  <c r="B161" i="50" s="1"/>
  <c r="G94" i="50"/>
  <c r="M94" i="50"/>
  <c r="V62" i="50"/>
  <c r="D94" i="50"/>
  <c r="V56" i="50"/>
  <c r="N40" i="50"/>
  <c r="N45" i="50"/>
  <c r="N47" i="50"/>
  <c r="N41" i="50"/>
  <c r="N46" i="50"/>
  <c r="N39" i="50"/>
  <c r="N43" i="50"/>
  <c r="N44" i="50"/>
  <c r="N42" i="50"/>
  <c r="I94" i="50"/>
  <c r="B40" i="50"/>
  <c r="B41" i="50"/>
  <c r="B45" i="50"/>
  <c r="B42" i="50"/>
  <c r="B43" i="50"/>
  <c r="B39" i="50"/>
  <c r="B46" i="50"/>
  <c r="B44" i="50"/>
  <c r="B47" i="50"/>
  <c r="L40" i="50"/>
  <c r="L45" i="50"/>
  <c r="L47" i="50"/>
  <c r="L46" i="50"/>
  <c r="L41" i="50"/>
  <c r="L43" i="50"/>
  <c r="L44" i="50"/>
  <c r="L39" i="50"/>
  <c r="L42" i="50"/>
  <c r="P40" i="50"/>
  <c r="P47" i="50"/>
  <c r="P41" i="50"/>
  <c r="P43" i="50"/>
  <c r="P46" i="50"/>
  <c r="P39" i="50"/>
  <c r="P44" i="50"/>
  <c r="P42" i="50"/>
  <c r="P45" i="50"/>
  <c r="K40" i="50"/>
  <c r="K39" i="50"/>
  <c r="K45" i="50"/>
  <c r="K47" i="50"/>
  <c r="K41" i="50"/>
  <c r="K46" i="50"/>
  <c r="K43" i="50"/>
  <c r="K44" i="50"/>
  <c r="K42" i="50"/>
  <c r="Q94" i="50"/>
  <c r="F94" i="50"/>
  <c r="V94" i="50"/>
  <c r="C94" i="50"/>
  <c r="E55" i="50"/>
  <c r="F157" i="50" s="1"/>
  <c r="E157" i="50" s="1"/>
  <c r="Z40" i="50"/>
  <c r="Z42" i="50"/>
  <c r="Z39" i="50"/>
  <c r="Z45" i="50"/>
  <c r="Z47" i="50"/>
  <c r="Z41" i="50"/>
  <c r="Z46" i="50"/>
  <c r="Z44" i="50"/>
  <c r="Z43" i="50"/>
  <c r="J40" i="50"/>
  <c r="J39" i="50"/>
  <c r="J42" i="50"/>
  <c r="J45" i="50"/>
  <c r="J47" i="50"/>
  <c r="J43" i="50"/>
  <c r="J46" i="50"/>
  <c r="J41" i="50"/>
  <c r="J44" i="50"/>
  <c r="M98" i="50"/>
  <c r="C98" i="50"/>
  <c r="F98" i="50"/>
  <c r="E94" i="50"/>
  <c r="N94" i="50"/>
  <c r="O94" i="50"/>
  <c r="H94" i="50"/>
  <c r="E62" i="50"/>
  <c r="F164" i="50" s="1"/>
  <c r="E164" i="50" s="1"/>
  <c r="Y40" i="50"/>
  <c r="Y39" i="50"/>
  <c r="Y41" i="50"/>
  <c r="Y42" i="50"/>
  <c r="Y45" i="50"/>
  <c r="Y47" i="50"/>
  <c r="Y44" i="50"/>
  <c r="Y46" i="50"/>
  <c r="Y43" i="50"/>
  <c r="I40" i="50"/>
  <c r="I41" i="50"/>
  <c r="I42" i="50"/>
  <c r="I39" i="50"/>
  <c r="I47" i="50"/>
  <c r="I45" i="50"/>
  <c r="I46" i="50"/>
  <c r="I43" i="50"/>
  <c r="I44" i="50"/>
  <c r="V98" i="50"/>
  <c r="T98" i="50"/>
  <c r="V54" i="50"/>
  <c r="K94" i="50"/>
  <c r="N98" i="50"/>
  <c r="T94" i="50"/>
  <c r="E64" i="50"/>
  <c r="F166" i="50" s="1"/>
  <c r="E166" i="50" s="1"/>
  <c r="X40" i="50"/>
  <c r="X41" i="50"/>
  <c r="X42" i="50"/>
  <c r="X39" i="50"/>
  <c r="X45" i="50"/>
  <c r="X47" i="50"/>
  <c r="X46" i="50"/>
  <c r="X43" i="50"/>
  <c r="X44" i="50"/>
  <c r="S58" i="50"/>
  <c r="U98" i="50"/>
  <c r="K98" i="50"/>
  <c r="E65" i="50"/>
  <c r="F167" i="50" s="1"/>
  <c r="E167" i="50" s="1"/>
  <c r="S49" i="50"/>
  <c r="S51" i="50" s="1"/>
  <c r="B150" i="50"/>
  <c r="B143" i="50"/>
  <c r="B149" i="50"/>
  <c r="B148" i="50"/>
  <c r="B147" i="50"/>
  <c r="B146" i="50"/>
  <c r="B145" i="50"/>
  <c r="B144" i="50"/>
  <c r="B142" i="50"/>
  <c r="W40" i="50"/>
  <c r="W44" i="50"/>
  <c r="W41" i="50"/>
  <c r="W39" i="50"/>
  <c r="W42" i="50"/>
  <c r="W47" i="50"/>
  <c r="W43" i="50"/>
  <c r="W45" i="50"/>
  <c r="W46" i="50"/>
  <c r="G40" i="50"/>
  <c r="G47" i="50"/>
  <c r="G44" i="50"/>
  <c r="G39" i="50"/>
  <c r="G41" i="50"/>
  <c r="G42" i="50"/>
  <c r="G45" i="50"/>
  <c r="G46" i="50"/>
  <c r="G43" i="50"/>
  <c r="V44" i="50"/>
  <c r="V47" i="50"/>
  <c r="V46" i="50"/>
  <c r="V40" i="50"/>
  <c r="V39" i="50"/>
  <c r="V45" i="50"/>
  <c r="V41" i="50"/>
  <c r="V42" i="50"/>
  <c r="V43" i="50"/>
  <c r="F40" i="50"/>
  <c r="F46" i="50"/>
  <c r="F47" i="50"/>
  <c r="F44" i="50"/>
  <c r="F39" i="50"/>
  <c r="F45" i="50"/>
  <c r="F41" i="50"/>
  <c r="F42" i="50"/>
  <c r="F43" i="50"/>
  <c r="O40" i="50"/>
  <c r="O45" i="50"/>
  <c r="O47" i="50"/>
  <c r="O41" i="50"/>
  <c r="O43" i="50"/>
  <c r="O39" i="50"/>
  <c r="O46" i="50"/>
  <c r="O44" i="50"/>
  <c r="O42" i="50"/>
  <c r="S54" i="50"/>
  <c r="H40" i="50"/>
  <c r="H43" i="50"/>
  <c r="H44" i="50"/>
  <c r="H41" i="50"/>
  <c r="H42" i="50"/>
  <c r="H39" i="50"/>
  <c r="H46" i="50"/>
  <c r="H47" i="50"/>
  <c r="H45" i="50"/>
  <c r="U44" i="50"/>
  <c r="U47" i="50"/>
  <c r="U46" i="50"/>
  <c r="U40" i="50"/>
  <c r="U39" i="50"/>
  <c r="U45" i="50"/>
  <c r="U41" i="50"/>
  <c r="U42" i="50"/>
  <c r="U43" i="50"/>
  <c r="E40" i="50"/>
  <c r="E46" i="50"/>
  <c r="E43" i="50"/>
  <c r="E44" i="50"/>
  <c r="E45" i="50"/>
  <c r="E39" i="50"/>
  <c r="E41" i="50"/>
  <c r="E42" i="50"/>
  <c r="E47" i="50"/>
  <c r="V60" i="50"/>
  <c r="T44" i="50"/>
  <c r="T47" i="50"/>
  <c r="T46" i="50"/>
  <c r="T40" i="50"/>
  <c r="T45" i="50"/>
  <c r="T42" i="50"/>
  <c r="T39" i="50"/>
  <c r="T41" i="50"/>
  <c r="T43" i="50"/>
  <c r="D40" i="50"/>
  <c r="D46" i="50"/>
  <c r="D44" i="50"/>
  <c r="D43" i="50"/>
  <c r="D42" i="50"/>
  <c r="D47" i="50"/>
  <c r="D45" i="50"/>
  <c r="D39" i="50"/>
  <c r="D41" i="50"/>
  <c r="R98" i="50"/>
  <c r="P94" i="50"/>
  <c r="B98" i="50"/>
  <c r="I98" i="50"/>
  <c r="X94" i="50"/>
  <c r="U21" i="50"/>
  <c r="U22" i="50" s="1"/>
  <c r="P98" i="50"/>
  <c r="Q64" i="50"/>
  <c r="B166" i="50" s="1"/>
  <c r="S50" i="50"/>
  <c r="S52" i="50" s="1"/>
  <c r="S64" i="50"/>
  <c r="V58" i="50"/>
  <c r="M40" i="50"/>
  <c r="M42" i="50"/>
  <c r="M45" i="50"/>
  <c r="M47" i="50"/>
  <c r="M41" i="50"/>
  <c r="M39" i="50"/>
  <c r="M43" i="50"/>
  <c r="M46" i="50"/>
  <c r="M44" i="50"/>
  <c r="S44" i="50"/>
  <c r="S47" i="50"/>
  <c r="S46" i="50"/>
  <c r="S40" i="50"/>
  <c r="S43" i="50"/>
  <c r="S42" i="50"/>
  <c r="S39" i="50"/>
  <c r="S41" i="50"/>
  <c r="S45" i="50"/>
  <c r="C40" i="50"/>
  <c r="C43" i="50"/>
  <c r="C39" i="50"/>
  <c r="C42" i="50"/>
  <c r="C46" i="50"/>
  <c r="C44" i="50"/>
  <c r="C45" i="50"/>
  <c r="C41" i="50"/>
  <c r="C47" i="50"/>
  <c r="H98" i="50"/>
  <c r="B94" i="50"/>
  <c r="Q24" i="50"/>
  <c r="J98" i="50"/>
  <c r="S65" i="50"/>
  <c r="U94" i="50"/>
  <c r="L98" i="50"/>
  <c r="V49" i="50"/>
  <c r="V51" i="50" s="1"/>
  <c r="Q98" i="50"/>
  <c r="R44" i="50"/>
  <c r="R46" i="50"/>
  <c r="R47" i="50"/>
  <c r="R40" i="50"/>
  <c r="R43" i="50"/>
  <c r="R39" i="50"/>
  <c r="R41" i="50"/>
  <c r="R45" i="50"/>
  <c r="R42" i="50"/>
  <c r="U47" i="48"/>
  <c r="U46" i="48"/>
  <c r="U44" i="48"/>
  <c r="U39" i="48"/>
  <c r="U42" i="48"/>
  <c r="U40" i="48"/>
  <c r="U41" i="48"/>
  <c r="U45" i="48"/>
  <c r="U43" i="48"/>
  <c r="E46" i="48"/>
  <c r="E47" i="48"/>
  <c r="E39" i="48"/>
  <c r="E42" i="48"/>
  <c r="E40" i="48"/>
  <c r="E41" i="48"/>
  <c r="E63" i="48" s="1"/>
  <c r="F165" i="48" s="1"/>
  <c r="E165" i="48" s="1"/>
  <c r="E45" i="48"/>
  <c r="E44" i="48"/>
  <c r="E43" i="48"/>
  <c r="D41" i="48"/>
  <c r="D63" i="48" s="1"/>
  <c r="D46" i="48"/>
  <c r="D39" i="48"/>
  <c r="D42" i="48"/>
  <c r="D40" i="48"/>
  <c r="D43" i="48"/>
  <c r="D45" i="48"/>
  <c r="D44" i="48"/>
  <c r="D47" i="48"/>
  <c r="F46" i="48"/>
  <c r="F39" i="48"/>
  <c r="F41" i="48"/>
  <c r="F42" i="48"/>
  <c r="F40" i="48"/>
  <c r="F45" i="48"/>
  <c r="F43" i="48"/>
  <c r="F47" i="48"/>
  <c r="F44" i="48"/>
  <c r="V47" i="48"/>
  <c r="V44" i="48"/>
  <c r="V46" i="48"/>
  <c r="V39" i="48"/>
  <c r="V41" i="48"/>
  <c r="V42" i="48"/>
  <c r="V40" i="48"/>
  <c r="V45" i="48"/>
  <c r="V43" i="48"/>
  <c r="T47" i="48"/>
  <c r="T46" i="48"/>
  <c r="T44" i="48"/>
  <c r="T41" i="48"/>
  <c r="T39" i="48"/>
  <c r="T42" i="48"/>
  <c r="T40" i="48"/>
  <c r="T43" i="48"/>
  <c r="T45" i="48"/>
  <c r="G65" i="48"/>
  <c r="G42" i="48"/>
  <c r="G40" i="48"/>
  <c r="G45" i="48"/>
  <c r="G43" i="48"/>
  <c r="G41" i="48"/>
  <c r="G63" i="48" s="1"/>
  <c r="G44" i="48"/>
  <c r="G39" i="48"/>
  <c r="G47" i="48"/>
  <c r="G46" i="48"/>
  <c r="S44" i="48"/>
  <c r="S47" i="48"/>
  <c r="S46" i="48"/>
  <c r="S41" i="48"/>
  <c r="S39" i="48"/>
  <c r="S42" i="48"/>
  <c r="S40" i="48"/>
  <c r="S43" i="48"/>
  <c r="S45" i="48"/>
  <c r="C45" i="48"/>
  <c r="C47" i="48"/>
  <c r="C46" i="48"/>
  <c r="C41" i="48"/>
  <c r="C39" i="48"/>
  <c r="C42" i="48"/>
  <c r="C40" i="48"/>
  <c r="C43" i="48"/>
  <c r="C44" i="48"/>
  <c r="G50" i="48"/>
  <c r="G52" i="48" s="1"/>
  <c r="G59" i="48"/>
  <c r="Q44" i="48"/>
  <c r="C147" i="48" s="1"/>
  <c r="Q47" i="48"/>
  <c r="Q46" i="48"/>
  <c r="Q45" i="48"/>
  <c r="C148" i="48" s="1"/>
  <c r="Q41" i="48"/>
  <c r="C144" i="48" s="1"/>
  <c r="Q43" i="48"/>
  <c r="C146" i="48" s="1"/>
  <c r="Q39" i="48"/>
  <c r="C142" i="48" s="1"/>
  <c r="Q42" i="48"/>
  <c r="C145" i="48" s="1"/>
  <c r="Q40" i="48"/>
  <c r="C143" i="48" s="1"/>
  <c r="G61" i="48"/>
  <c r="P40" i="48"/>
  <c r="P44" i="48"/>
  <c r="P42" i="48"/>
  <c r="P47" i="48"/>
  <c r="P46" i="48"/>
  <c r="P41" i="48"/>
  <c r="P45" i="48"/>
  <c r="P43" i="48"/>
  <c r="P39" i="48"/>
  <c r="G64" i="48"/>
  <c r="Y45" i="48"/>
  <c r="Y43" i="48"/>
  <c r="Y44" i="48"/>
  <c r="Y41" i="48"/>
  <c r="Y47" i="48"/>
  <c r="Y39" i="48"/>
  <c r="Y46" i="48"/>
  <c r="Y42" i="48"/>
  <c r="Y40" i="48"/>
  <c r="H42" i="48"/>
  <c r="H40" i="48"/>
  <c r="H41" i="48"/>
  <c r="H45" i="48"/>
  <c r="H43" i="48"/>
  <c r="H46" i="48"/>
  <c r="H39" i="48"/>
  <c r="H44" i="48"/>
  <c r="H47" i="48"/>
  <c r="O42" i="48"/>
  <c r="O44" i="48"/>
  <c r="O47" i="48"/>
  <c r="O46" i="48"/>
  <c r="O41" i="48"/>
  <c r="O45" i="48"/>
  <c r="O43" i="48"/>
  <c r="O40" i="48"/>
  <c r="O39" i="48"/>
  <c r="G58" i="48"/>
  <c r="I41" i="48"/>
  <c r="I45" i="48"/>
  <c r="I43" i="48"/>
  <c r="I44" i="48"/>
  <c r="I42" i="48"/>
  <c r="I47" i="48"/>
  <c r="I39" i="48"/>
  <c r="I46" i="48"/>
  <c r="I40" i="48"/>
  <c r="M42" i="48"/>
  <c r="M39" i="48"/>
  <c r="M47" i="48"/>
  <c r="M44" i="48"/>
  <c r="M46" i="48"/>
  <c r="M40" i="48"/>
  <c r="M41" i="48"/>
  <c r="M45" i="48"/>
  <c r="M43" i="48"/>
  <c r="B144" i="48"/>
  <c r="B143" i="48"/>
  <c r="B142" i="48"/>
  <c r="B150" i="48"/>
  <c r="B148" i="48"/>
  <c r="B147" i="48"/>
  <c r="B149" i="48"/>
  <c r="B146" i="48"/>
  <c r="B145" i="48"/>
  <c r="N39" i="48"/>
  <c r="N40" i="48"/>
  <c r="N47" i="48"/>
  <c r="N42" i="48"/>
  <c r="N44" i="48"/>
  <c r="N46" i="48"/>
  <c r="N41" i="48"/>
  <c r="N45" i="48"/>
  <c r="N43" i="48"/>
  <c r="G60" i="48"/>
  <c r="L39" i="48"/>
  <c r="L42" i="48"/>
  <c r="L47" i="48"/>
  <c r="L44" i="48"/>
  <c r="L46" i="48"/>
  <c r="L40" i="48"/>
  <c r="L41" i="48"/>
  <c r="L45" i="48"/>
  <c r="L43" i="48"/>
  <c r="G62" i="48"/>
  <c r="X42" i="48"/>
  <c r="X40" i="48"/>
  <c r="X46" i="48"/>
  <c r="X41" i="48"/>
  <c r="X45" i="48"/>
  <c r="X43" i="48"/>
  <c r="X39" i="48"/>
  <c r="X44" i="48"/>
  <c r="X47" i="48"/>
  <c r="G55" i="48"/>
  <c r="Y60" i="48"/>
  <c r="R44" i="48"/>
  <c r="R47" i="48"/>
  <c r="R46" i="48"/>
  <c r="R41" i="48"/>
  <c r="R43" i="48"/>
  <c r="R39" i="48"/>
  <c r="R45" i="48"/>
  <c r="R42" i="48"/>
  <c r="R40" i="48"/>
  <c r="B47" i="48"/>
  <c r="B46" i="48"/>
  <c r="B41" i="48"/>
  <c r="B43" i="48"/>
  <c r="B44" i="48"/>
  <c r="B39" i="48"/>
  <c r="B45" i="48"/>
  <c r="B42" i="48"/>
  <c r="B40" i="48"/>
  <c r="K39" i="48"/>
  <c r="K44" i="48"/>
  <c r="K47" i="48"/>
  <c r="K46" i="48"/>
  <c r="K42" i="48"/>
  <c r="K40" i="48"/>
  <c r="K41" i="48"/>
  <c r="K45" i="48"/>
  <c r="K43" i="48"/>
  <c r="G54" i="48"/>
  <c r="Z39" i="48"/>
  <c r="Z47" i="48"/>
  <c r="Z41" i="48"/>
  <c r="Z46" i="48"/>
  <c r="Z44" i="48"/>
  <c r="Z42" i="48"/>
  <c r="Z40" i="48"/>
  <c r="Z45" i="48"/>
  <c r="Z43" i="48"/>
  <c r="J39" i="48"/>
  <c r="J44" i="48"/>
  <c r="J47" i="48"/>
  <c r="J46" i="48"/>
  <c r="J41" i="48"/>
  <c r="J43" i="48"/>
  <c r="J45" i="48"/>
  <c r="J42" i="48"/>
  <c r="J40" i="48"/>
  <c r="G57" i="48"/>
  <c r="W42" i="48"/>
  <c r="W40" i="48"/>
  <c r="W45" i="48"/>
  <c r="W43" i="48"/>
  <c r="W41" i="48"/>
  <c r="W39" i="48"/>
  <c r="W44" i="48"/>
  <c r="W47" i="48"/>
  <c r="W46" i="48"/>
  <c r="G56" i="48"/>
  <c r="D45" i="51"/>
  <c r="D40" i="51"/>
  <c r="D44" i="51"/>
  <c r="D43" i="51"/>
  <c r="D42" i="51"/>
  <c r="D47" i="51"/>
  <c r="D39" i="51"/>
  <c r="D41" i="51"/>
  <c r="D46" i="51"/>
  <c r="G46" i="51"/>
  <c r="G44" i="51"/>
  <c r="G47" i="51"/>
  <c r="G45" i="51"/>
  <c r="G40" i="51"/>
  <c r="G42" i="51"/>
  <c r="G41" i="51"/>
  <c r="G39" i="51"/>
  <c r="G43" i="51"/>
  <c r="K40" i="51"/>
  <c r="K45" i="51"/>
  <c r="K44" i="51"/>
  <c r="K41" i="51"/>
  <c r="K39" i="51"/>
  <c r="K43" i="51"/>
  <c r="K46" i="51"/>
  <c r="K47" i="51"/>
  <c r="K42" i="51"/>
  <c r="L40" i="51"/>
  <c r="L44" i="51"/>
  <c r="L45" i="51"/>
  <c r="L41" i="51"/>
  <c r="L39" i="51"/>
  <c r="L42" i="51"/>
  <c r="L43" i="51"/>
  <c r="L47" i="51"/>
  <c r="L46" i="51"/>
  <c r="M40" i="51"/>
  <c r="M45" i="51"/>
  <c r="M44" i="51"/>
  <c r="M41" i="51"/>
  <c r="M47" i="51"/>
  <c r="M39" i="51"/>
  <c r="M43" i="51"/>
  <c r="M46" i="51"/>
  <c r="M42" i="51"/>
  <c r="B150" i="51"/>
  <c r="B149" i="51"/>
  <c r="B148" i="51"/>
  <c r="B147" i="51"/>
  <c r="B146" i="51"/>
  <c r="B145" i="51"/>
  <c r="B144" i="51"/>
  <c r="B143" i="51"/>
  <c r="B142" i="51"/>
  <c r="H46" i="51"/>
  <c r="H44" i="51"/>
  <c r="H47" i="51"/>
  <c r="H45" i="51"/>
  <c r="H40" i="51"/>
  <c r="H42" i="51"/>
  <c r="H41" i="51"/>
  <c r="H39" i="51"/>
  <c r="H43" i="51"/>
  <c r="I46" i="51"/>
  <c r="I44" i="51"/>
  <c r="I47" i="51"/>
  <c r="I40" i="51"/>
  <c r="I45" i="51"/>
  <c r="I42" i="51"/>
  <c r="I41" i="51"/>
  <c r="I43" i="51"/>
  <c r="I39" i="51"/>
  <c r="J40" i="51"/>
  <c r="J45" i="51"/>
  <c r="J44" i="51"/>
  <c r="J39" i="51"/>
  <c r="J41" i="51"/>
  <c r="J46" i="51"/>
  <c r="J42" i="51"/>
  <c r="J43" i="51"/>
  <c r="J47" i="51"/>
  <c r="N44" i="51"/>
  <c r="N45" i="51"/>
  <c r="N40" i="51"/>
  <c r="N39" i="51"/>
  <c r="N41" i="51"/>
  <c r="N43" i="51"/>
  <c r="N47" i="51"/>
  <c r="N46" i="51"/>
  <c r="N42" i="51"/>
  <c r="F45" i="51"/>
  <c r="F40" i="51"/>
  <c r="F44" i="51"/>
  <c r="F47" i="51"/>
  <c r="F42" i="51"/>
  <c r="F41" i="51"/>
  <c r="F39" i="51"/>
  <c r="F46" i="51"/>
  <c r="F43" i="51"/>
  <c r="M65" i="51"/>
  <c r="M58" i="51"/>
  <c r="C47" i="51"/>
  <c r="C46" i="51"/>
  <c r="C44" i="51"/>
  <c r="C40" i="51"/>
  <c r="C45" i="51"/>
  <c r="C39" i="51"/>
  <c r="C43" i="51"/>
  <c r="C42" i="51"/>
  <c r="C41" i="51"/>
  <c r="M50" i="51"/>
  <c r="M52" i="51" s="1"/>
  <c r="B47" i="51"/>
  <c r="B46" i="51"/>
  <c r="B44" i="51"/>
  <c r="C147" i="51" s="1"/>
  <c r="B45" i="51"/>
  <c r="C148" i="51" s="1"/>
  <c r="B40" i="51"/>
  <c r="C143" i="51" s="1"/>
  <c r="B43" i="51"/>
  <c r="C146" i="51" s="1"/>
  <c r="B39" i="51"/>
  <c r="C142" i="51" s="1"/>
  <c r="B42" i="51"/>
  <c r="C145" i="51" s="1"/>
  <c r="B41" i="51"/>
  <c r="C144" i="51" s="1"/>
  <c r="E45" i="51"/>
  <c r="E44" i="51"/>
  <c r="E40" i="51"/>
  <c r="E47" i="51"/>
  <c r="E43" i="51"/>
  <c r="E42" i="51"/>
  <c r="E39" i="51"/>
  <c r="E41" i="51"/>
  <c r="E46" i="51"/>
  <c r="P41" i="49"/>
  <c r="P45" i="49"/>
  <c r="P46" i="49"/>
  <c r="P42" i="49"/>
  <c r="P39" i="49"/>
  <c r="P47" i="49"/>
  <c r="P43" i="49"/>
  <c r="P44" i="49"/>
  <c r="P40" i="49"/>
  <c r="R44" i="49"/>
  <c r="C147" i="49" s="1"/>
  <c r="R47" i="49"/>
  <c r="R46" i="49"/>
  <c r="R41" i="49"/>
  <c r="C144" i="49" s="1"/>
  <c r="R45" i="49"/>
  <c r="C148" i="49" s="1"/>
  <c r="R42" i="49"/>
  <c r="C145" i="49" s="1"/>
  <c r="R43" i="49"/>
  <c r="C146" i="49" s="1"/>
  <c r="R40" i="49"/>
  <c r="C143" i="49" s="1"/>
  <c r="R39" i="49"/>
  <c r="C142" i="49" s="1"/>
  <c r="AH49" i="49"/>
  <c r="AH50" i="49" s="1"/>
  <c r="S47" i="49"/>
  <c r="S44" i="49"/>
  <c r="S46" i="49"/>
  <c r="S41" i="49"/>
  <c r="S45" i="49"/>
  <c r="S42" i="49"/>
  <c r="S43" i="49"/>
  <c r="S40" i="49"/>
  <c r="S39" i="49"/>
  <c r="Y41" i="49"/>
  <c r="Y42" i="49"/>
  <c r="Y46" i="49"/>
  <c r="Y45" i="49"/>
  <c r="Y43" i="49"/>
  <c r="Y47" i="49"/>
  <c r="Y39" i="49"/>
  <c r="Y40" i="49"/>
  <c r="Y44" i="49"/>
  <c r="D42" i="49"/>
  <c r="D41" i="49"/>
  <c r="D45" i="49"/>
  <c r="D46" i="49"/>
  <c r="D43" i="49"/>
  <c r="D47" i="49"/>
  <c r="D40" i="49"/>
  <c r="D44" i="49"/>
  <c r="D39" i="49"/>
  <c r="T47" i="49"/>
  <c r="T46" i="49"/>
  <c r="T44" i="49"/>
  <c r="T42" i="49"/>
  <c r="T41" i="49"/>
  <c r="T45" i="49"/>
  <c r="T40" i="49"/>
  <c r="T39" i="49"/>
  <c r="T43" i="49"/>
  <c r="B144" i="49"/>
  <c r="B149" i="49"/>
  <c r="B150" i="49"/>
  <c r="E41" i="49"/>
  <c r="E42" i="49"/>
  <c r="E45" i="49"/>
  <c r="E46" i="49"/>
  <c r="E47" i="49"/>
  <c r="E40" i="49"/>
  <c r="E44" i="49"/>
  <c r="E39" i="49"/>
  <c r="E43" i="49"/>
  <c r="U47" i="49"/>
  <c r="U46" i="49"/>
  <c r="U44" i="49"/>
  <c r="U45" i="49"/>
  <c r="U42" i="49"/>
  <c r="U41" i="49"/>
  <c r="U40" i="49"/>
  <c r="U39" i="49"/>
  <c r="U43" i="49"/>
  <c r="B42" i="49"/>
  <c r="B45" i="49"/>
  <c r="B46" i="49"/>
  <c r="B41" i="49"/>
  <c r="B47" i="49"/>
  <c r="B43" i="49"/>
  <c r="B44" i="49"/>
  <c r="B40" i="49"/>
  <c r="B39" i="49"/>
  <c r="F45" i="49"/>
  <c r="F41" i="49"/>
  <c r="F46" i="49"/>
  <c r="F42" i="49"/>
  <c r="F47" i="49"/>
  <c r="F40" i="49"/>
  <c r="F44" i="49"/>
  <c r="F39" i="49"/>
  <c r="F43" i="49"/>
  <c r="V47" i="49"/>
  <c r="V46" i="49"/>
  <c r="V44" i="49"/>
  <c r="V45" i="49"/>
  <c r="V41" i="49"/>
  <c r="V42" i="49"/>
  <c r="V40" i="49"/>
  <c r="V39" i="49"/>
  <c r="V43" i="49"/>
  <c r="C46" i="49"/>
  <c r="C42" i="49"/>
  <c r="C45" i="49"/>
  <c r="C41" i="49"/>
  <c r="C47" i="49"/>
  <c r="C43" i="49"/>
  <c r="C44" i="49"/>
  <c r="C40" i="49"/>
  <c r="C39" i="49"/>
  <c r="G42" i="49"/>
  <c r="G46" i="49"/>
  <c r="G41" i="49"/>
  <c r="G45" i="49"/>
  <c r="G39" i="49"/>
  <c r="G44" i="49"/>
  <c r="G40" i="49"/>
  <c r="G43" i="49"/>
  <c r="G47" i="49"/>
  <c r="W47" i="49"/>
  <c r="W46" i="49"/>
  <c r="W44" i="49"/>
  <c r="W42" i="49"/>
  <c r="W41" i="49"/>
  <c r="W45" i="49"/>
  <c r="W39" i="49"/>
  <c r="W43" i="49"/>
  <c r="W40" i="49"/>
  <c r="O45" i="49"/>
  <c r="O41" i="49"/>
  <c r="O46" i="49"/>
  <c r="O42" i="49"/>
  <c r="O39" i="49"/>
  <c r="O40" i="49"/>
  <c r="O47" i="49"/>
  <c r="O43" i="49"/>
  <c r="O44" i="49"/>
  <c r="J46" i="49"/>
  <c r="J42" i="49"/>
  <c r="J45" i="49"/>
  <c r="J41" i="49"/>
  <c r="J39" i="49"/>
  <c r="J40" i="49"/>
  <c r="J47" i="49"/>
  <c r="J44" i="49"/>
  <c r="J43" i="49"/>
  <c r="Z41" i="49"/>
  <c r="Z46" i="49"/>
  <c r="Z42" i="49"/>
  <c r="Z45" i="49"/>
  <c r="Z39" i="49"/>
  <c r="Z40" i="49"/>
  <c r="Z47" i="49"/>
  <c r="Z44" i="49"/>
  <c r="Z43" i="49"/>
  <c r="K42" i="49"/>
  <c r="K46" i="49"/>
  <c r="K45" i="49"/>
  <c r="K41" i="49"/>
  <c r="K47" i="49"/>
  <c r="K43" i="49"/>
  <c r="K40" i="49"/>
  <c r="K39" i="49"/>
  <c r="K44" i="49"/>
  <c r="AA41" i="49"/>
  <c r="AA46" i="49"/>
  <c r="AA42" i="49"/>
  <c r="AA45" i="49"/>
  <c r="AA40" i="49"/>
  <c r="AA39" i="49"/>
  <c r="AA44" i="49"/>
  <c r="AA43" i="49"/>
  <c r="AA47" i="49"/>
  <c r="L46" i="49"/>
  <c r="L41" i="49"/>
  <c r="L42" i="49"/>
  <c r="L45" i="49"/>
  <c r="L40" i="49"/>
  <c r="L39" i="49"/>
  <c r="L47" i="49"/>
  <c r="L43" i="49"/>
  <c r="L44" i="49"/>
  <c r="AB46" i="49"/>
  <c r="AB42" i="49"/>
  <c r="AB45" i="49"/>
  <c r="AB41" i="49"/>
  <c r="AB44" i="49"/>
  <c r="AB39" i="49"/>
  <c r="AB47" i="49"/>
  <c r="AB43" i="49"/>
  <c r="AB40" i="49"/>
  <c r="H41" i="49"/>
  <c r="H42" i="49"/>
  <c r="H46" i="49"/>
  <c r="H45" i="49"/>
  <c r="H44" i="49"/>
  <c r="H47" i="49"/>
  <c r="H43" i="49"/>
  <c r="H39" i="49"/>
  <c r="H40" i="49"/>
  <c r="Q46" i="49"/>
  <c r="Q41" i="49"/>
  <c r="Q45" i="49"/>
  <c r="Q42" i="49"/>
  <c r="Q47" i="49"/>
  <c r="Q43" i="49"/>
  <c r="Q40" i="49"/>
  <c r="Q44" i="49"/>
  <c r="Q39" i="49"/>
  <c r="M42" i="49"/>
  <c r="M41" i="49"/>
  <c r="M45" i="49"/>
  <c r="M46" i="49"/>
  <c r="M40" i="49"/>
  <c r="M39" i="49"/>
  <c r="M47" i="49"/>
  <c r="M43" i="49"/>
  <c r="M44" i="49"/>
  <c r="AC42" i="49"/>
  <c r="AC45" i="49"/>
  <c r="AC41" i="49"/>
  <c r="AC46" i="49"/>
  <c r="AC39" i="49"/>
  <c r="AC47" i="49"/>
  <c r="AC43" i="49"/>
  <c r="AC44" i="49"/>
  <c r="AC40" i="49"/>
  <c r="I46" i="49"/>
  <c r="I42" i="49"/>
  <c r="I45" i="49"/>
  <c r="I41" i="49"/>
  <c r="I44" i="49"/>
  <c r="I47" i="49"/>
  <c r="I43" i="49"/>
  <c r="I40" i="49"/>
  <c r="I39" i="49"/>
  <c r="X41" i="49"/>
  <c r="X42" i="49"/>
  <c r="X46" i="49"/>
  <c r="X45" i="49"/>
  <c r="X47" i="49"/>
  <c r="X44" i="49"/>
  <c r="X43" i="49"/>
  <c r="X39" i="49"/>
  <c r="X40" i="49"/>
  <c r="N45" i="49"/>
  <c r="N41" i="49"/>
  <c r="N42" i="49"/>
  <c r="N46" i="49"/>
  <c r="N39" i="49"/>
  <c r="N47" i="49"/>
  <c r="N43" i="49"/>
  <c r="N44" i="49"/>
  <c r="N40" i="49"/>
  <c r="L44" i="44"/>
  <c r="L45" i="44"/>
  <c r="L39" i="44"/>
  <c r="L41" i="44"/>
  <c r="L46" i="44"/>
  <c r="L43" i="44"/>
  <c r="L42" i="44"/>
  <c r="L47" i="44"/>
  <c r="L40" i="44"/>
  <c r="M43" i="44"/>
  <c r="M46" i="44"/>
  <c r="M42" i="44"/>
  <c r="M41" i="44"/>
  <c r="M44" i="44"/>
  <c r="M39" i="44"/>
  <c r="M45" i="44"/>
  <c r="M47" i="44"/>
  <c r="M40" i="44"/>
  <c r="AC41" i="44"/>
  <c r="AC45" i="44"/>
  <c r="AC43" i="44"/>
  <c r="AC44" i="44"/>
  <c r="AC46" i="44"/>
  <c r="AC42" i="44"/>
  <c r="AC39" i="44"/>
  <c r="AC47" i="44"/>
  <c r="AC40" i="44"/>
  <c r="AB44" i="44"/>
  <c r="AB45" i="44"/>
  <c r="AB46" i="44"/>
  <c r="AB39" i="44"/>
  <c r="AB41" i="44"/>
  <c r="AB43" i="44"/>
  <c r="AB47" i="44"/>
  <c r="AB42" i="44"/>
  <c r="AB40" i="44"/>
  <c r="S47" i="44"/>
  <c r="S46" i="44"/>
  <c r="S44" i="44"/>
  <c r="S39" i="44"/>
  <c r="S43" i="44"/>
  <c r="S45" i="44"/>
  <c r="S41" i="44"/>
  <c r="S42" i="44"/>
  <c r="S40" i="44"/>
  <c r="U47" i="44"/>
  <c r="U46" i="44"/>
  <c r="U44" i="44"/>
  <c r="U39" i="44"/>
  <c r="U45" i="44"/>
  <c r="U43" i="44"/>
  <c r="U42" i="44"/>
  <c r="U41" i="44"/>
  <c r="U40" i="44"/>
  <c r="N47" i="44"/>
  <c r="N42" i="44"/>
  <c r="N46" i="44"/>
  <c r="N39" i="44"/>
  <c r="N43" i="44"/>
  <c r="N45" i="44"/>
  <c r="N44" i="44"/>
  <c r="N41" i="44"/>
  <c r="N40" i="44"/>
  <c r="K64" i="44"/>
  <c r="Q43" i="44"/>
  <c r="Q42" i="44"/>
  <c r="Q47" i="44"/>
  <c r="Q45" i="44"/>
  <c r="Q46" i="44"/>
  <c r="Q41" i="44"/>
  <c r="Q39" i="44"/>
  <c r="Q44" i="44"/>
  <c r="Q40" i="44"/>
  <c r="K57" i="44"/>
  <c r="C39" i="44"/>
  <c r="C46" i="44"/>
  <c r="C43" i="44"/>
  <c r="C45" i="44"/>
  <c r="C47" i="44"/>
  <c r="C41" i="44"/>
  <c r="C42" i="44"/>
  <c r="C44" i="44"/>
  <c r="C40" i="44"/>
  <c r="B149" i="44"/>
  <c r="B150" i="44"/>
  <c r="B44" i="44"/>
  <c r="B45" i="44"/>
  <c r="B43" i="44"/>
  <c r="B42" i="44"/>
  <c r="B46" i="44"/>
  <c r="B47" i="44"/>
  <c r="B41" i="44"/>
  <c r="B39" i="44"/>
  <c r="B40" i="44"/>
  <c r="R44" i="44"/>
  <c r="C147" i="44" s="1"/>
  <c r="R47" i="44"/>
  <c r="R46" i="44"/>
  <c r="R45" i="44"/>
  <c r="C148" i="44" s="1"/>
  <c r="R43" i="44"/>
  <c r="C146" i="44" s="1"/>
  <c r="R42" i="44"/>
  <c r="C145" i="44" s="1"/>
  <c r="R39" i="44"/>
  <c r="C142" i="44" s="1"/>
  <c r="R41" i="44"/>
  <c r="C144" i="44" s="1"/>
  <c r="R40" i="44"/>
  <c r="C143" i="44" s="1"/>
  <c r="E62" i="44"/>
  <c r="E60" i="44"/>
  <c r="K63" i="44"/>
  <c r="P44" i="44"/>
  <c r="P42" i="44"/>
  <c r="P41" i="44"/>
  <c r="P46" i="44"/>
  <c r="P39" i="44"/>
  <c r="P43" i="44"/>
  <c r="P45" i="44"/>
  <c r="P47" i="44"/>
  <c r="P40" i="44"/>
  <c r="E39" i="44"/>
  <c r="E45" i="44"/>
  <c r="E46" i="44"/>
  <c r="E44" i="44"/>
  <c r="E47" i="44"/>
  <c r="E43" i="44"/>
  <c r="E42" i="44"/>
  <c r="E41" i="44"/>
  <c r="E40" i="44"/>
  <c r="E63" i="44"/>
  <c r="G65" i="44"/>
  <c r="G62" i="44"/>
  <c r="G61" i="44"/>
  <c r="AA47" i="44"/>
  <c r="AA41" i="44"/>
  <c r="AA42" i="44"/>
  <c r="AA46" i="44"/>
  <c r="AA45" i="44"/>
  <c r="AA39" i="44"/>
  <c r="AA44" i="44"/>
  <c r="AA43" i="44"/>
  <c r="AA40" i="44"/>
  <c r="J45" i="44"/>
  <c r="J43" i="44"/>
  <c r="J47" i="44"/>
  <c r="J42" i="44"/>
  <c r="J44" i="44"/>
  <c r="J46" i="44"/>
  <c r="J39" i="44"/>
  <c r="J41" i="44"/>
  <c r="J40" i="44"/>
  <c r="F43" i="44"/>
  <c r="F46" i="44"/>
  <c r="F41" i="44"/>
  <c r="F47" i="44"/>
  <c r="F45" i="44"/>
  <c r="F44" i="44"/>
  <c r="F39" i="44"/>
  <c r="F42" i="44"/>
  <c r="F40" i="44"/>
  <c r="V47" i="44"/>
  <c r="V46" i="44"/>
  <c r="V44" i="44"/>
  <c r="V42" i="44"/>
  <c r="V43" i="44"/>
  <c r="V39" i="44"/>
  <c r="V41" i="44"/>
  <c r="V45" i="44"/>
  <c r="V40" i="44"/>
  <c r="G60" i="44"/>
  <c r="K41" i="44"/>
  <c r="K42" i="44"/>
  <c r="K45" i="44"/>
  <c r="K39" i="44"/>
  <c r="K44" i="44"/>
  <c r="K46" i="44"/>
  <c r="K47" i="44"/>
  <c r="K43" i="44"/>
  <c r="K40" i="44"/>
  <c r="G41" i="44"/>
  <c r="G45" i="44"/>
  <c r="G47" i="44"/>
  <c r="G44" i="44"/>
  <c r="G39" i="44"/>
  <c r="G46" i="44"/>
  <c r="G42" i="44"/>
  <c r="G43" i="44"/>
  <c r="G40" i="44"/>
  <c r="W47" i="44"/>
  <c r="W46" i="44"/>
  <c r="W44" i="44"/>
  <c r="W41" i="44"/>
  <c r="W45" i="44"/>
  <c r="W39" i="44"/>
  <c r="W42" i="44"/>
  <c r="W43" i="44"/>
  <c r="W40" i="44"/>
  <c r="G63" i="44"/>
  <c r="E54" i="44"/>
  <c r="K65" i="44"/>
  <c r="D44" i="44"/>
  <c r="D47" i="44"/>
  <c r="D45" i="44"/>
  <c r="D41" i="44"/>
  <c r="D42" i="44"/>
  <c r="D39" i="44"/>
  <c r="D46" i="44"/>
  <c r="D43" i="44"/>
  <c r="D40" i="44"/>
  <c r="H44" i="44"/>
  <c r="H47" i="44"/>
  <c r="H46" i="44"/>
  <c r="H39" i="44"/>
  <c r="H45" i="44"/>
  <c r="H42" i="44"/>
  <c r="H43" i="44"/>
  <c r="H41" i="44"/>
  <c r="H40" i="44"/>
  <c r="X47" i="44"/>
  <c r="X44" i="44"/>
  <c r="X45" i="44"/>
  <c r="X46" i="44"/>
  <c r="X39" i="44"/>
  <c r="X42" i="44"/>
  <c r="X43" i="44"/>
  <c r="X41" i="44"/>
  <c r="X40" i="44"/>
  <c r="E64" i="44"/>
  <c r="K56" i="44"/>
  <c r="I42" i="44"/>
  <c r="I45" i="44"/>
  <c r="I39" i="44"/>
  <c r="I47" i="44"/>
  <c r="I43" i="44"/>
  <c r="I46" i="44"/>
  <c r="I44" i="44"/>
  <c r="I41" i="44"/>
  <c r="I40" i="44"/>
  <c r="Y45" i="44"/>
  <c r="Y39" i="44"/>
  <c r="Y44" i="44"/>
  <c r="Y47" i="44"/>
  <c r="Y43" i="44"/>
  <c r="Y46" i="44"/>
  <c r="Y42" i="44"/>
  <c r="Y41" i="44"/>
  <c r="Y40" i="44"/>
  <c r="T47" i="44"/>
  <c r="T46" i="44"/>
  <c r="T44" i="44"/>
  <c r="T41" i="44"/>
  <c r="T39" i="44"/>
  <c r="T42" i="44"/>
  <c r="T45" i="44"/>
  <c r="T43" i="44"/>
  <c r="T40" i="44"/>
  <c r="E65" i="44"/>
  <c r="G55" i="44"/>
  <c r="Z45" i="44"/>
  <c r="Z43" i="44"/>
  <c r="Z41" i="44"/>
  <c r="Z42" i="44"/>
  <c r="Z44" i="44"/>
  <c r="Z46" i="44"/>
  <c r="Z47" i="44"/>
  <c r="Z39" i="44"/>
  <c r="Z40" i="44"/>
  <c r="O39" i="44"/>
  <c r="O44" i="44"/>
  <c r="O45" i="44"/>
  <c r="O42" i="44"/>
  <c r="O43" i="44"/>
  <c r="O41" i="44"/>
  <c r="O47" i="44"/>
  <c r="O46" i="44"/>
  <c r="O40" i="44"/>
  <c r="E50" i="44"/>
  <c r="E52" i="44" s="1"/>
  <c r="L65" i="44"/>
  <c r="L64" i="44"/>
  <c r="L55" i="44"/>
  <c r="N59" i="44"/>
  <c r="L57" i="44"/>
  <c r="L63" i="44"/>
  <c r="N64" i="44"/>
  <c r="L62" i="44"/>
  <c r="N65" i="44"/>
  <c r="L58" i="44"/>
  <c r="B142" i="44"/>
  <c r="N54" i="44"/>
  <c r="L54" i="44"/>
  <c r="B146" i="44"/>
  <c r="N61" i="44"/>
  <c r="L59" i="44"/>
  <c r="B143" i="44"/>
  <c r="N55" i="44"/>
  <c r="B147" i="44"/>
  <c r="L61" i="44"/>
  <c r="L50" i="44"/>
  <c r="L52" i="44" s="1"/>
  <c r="B144" i="44"/>
  <c r="B148" i="44"/>
  <c r="B140" i="44"/>
  <c r="B145" i="44"/>
  <c r="X28" i="57"/>
  <c r="V63" i="42"/>
  <c r="V62" i="42"/>
  <c r="K49" i="42"/>
  <c r="K51" i="42" s="1"/>
  <c r="V50" i="42"/>
  <c r="V52" i="42" s="1"/>
  <c r="V49" i="42"/>
  <c r="V51" i="42" s="1"/>
  <c r="V61" i="42"/>
  <c r="V60" i="42"/>
  <c r="V57" i="42"/>
  <c r="V55" i="42"/>
  <c r="V56" i="42"/>
  <c r="V65" i="42"/>
  <c r="K56" i="42"/>
  <c r="U49" i="42"/>
  <c r="U51" i="42" s="1"/>
  <c r="V58" i="42"/>
  <c r="U55" i="42"/>
  <c r="V54" i="42"/>
  <c r="U54" i="42"/>
  <c r="V64" i="42"/>
  <c r="L49" i="42"/>
  <c r="L51" i="42" s="1"/>
  <c r="O59" i="50"/>
  <c r="V55" i="50"/>
  <c r="N65" i="50"/>
  <c r="H50" i="50"/>
  <c r="H52" i="50" s="1"/>
  <c r="H54" i="50"/>
  <c r="H59" i="50"/>
  <c r="H49" i="50"/>
  <c r="H51" i="50" s="1"/>
  <c r="H65" i="50"/>
  <c r="H63" i="50"/>
  <c r="F65" i="50"/>
  <c r="H64" i="50"/>
  <c r="N58" i="50"/>
  <c r="F55" i="50"/>
  <c r="H57" i="50"/>
  <c r="B140" i="50"/>
  <c r="F54" i="50"/>
  <c r="F62" i="50"/>
  <c r="F61" i="50"/>
  <c r="H58" i="50"/>
  <c r="F58" i="50"/>
  <c r="Q51" i="48"/>
  <c r="B154" i="48" s="1"/>
  <c r="C54" i="48"/>
  <c r="C61" i="48"/>
  <c r="E54" i="48"/>
  <c r="F156" i="48" s="1"/>
  <c r="E156" i="48" s="1"/>
  <c r="W94" i="48"/>
  <c r="C62" i="48"/>
  <c r="E61" i="48"/>
  <c r="F163" i="48" s="1"/>
  <c r="E163" i="48" s="1"/>
  <c r="C64" i="48"/>
  <c r="E50" i="48"/>
  <c r="E52" i="48" s="1"/>
  <c r="F155" i="48" s="1"/>
  <c r="E155" i="48" s="1"/>
  <c r="C60" i="48"/>
  <c r="E60" i="48"/>
  <c r="F162" i="48" s="1"/>
  <c r="E162" i="48" s="1"/>
  <c r="C49" i="48"/>
  <c r="C51" i="48" s="1"/>
  <c r="E49" i="48"/>
  <c r="E55" i="48"/>
  <c r="F157" i="48" s="1"/>
  <c r="E157" i="48" s="1"/>
  <c r="E65" i="48"/>
  <c r="F167" i="48" s="1"/>
  <c r="E167" i="48" s="1"/>
  <c r="Q52" i="48"/>
  <c r="C155" i="48" s="1"/>
  <c r="D155" i="48" s="1"/>
  <c r="E62" i="48"/>
  <c r="F164" i="48" s="1"/>
  <c r="E164" i="48" s="1"/>
  <c r="D50" i="48"/>
  <c r="D52" i="48" s="1"/>
  <c r="M54" i="51"/>
  <c r="M61" i="51"/>
  <c r="B60" i="51"/>
  <c r="M49" i="51"/>
  <c r="M51" i="51" s="1"/>
  <c r="B9" i="51"/>
  <c r="F23" i="51" s="1"/>
  <c r="B10" i="51"/>
  <c r="AH22" i="51"/>
  <c r="AI32" i="51" s="1"/>
  <c r="J67" i="51"/>
  <c r="B7" i="51"/>
  <c r="B8" i="51" s="1"/>
  <c r="M21" i="51" s="1"/>
  <c r="B140" i="51"/>
  <c r="E61" i="51"/>
  <c r="M97" i="49"/>
  <c r="N54" i="49"/>
  <c r="K95" i="49"/>
  <c r="K97" i="49"/>
  <c r="K18" i="49" s="1"/>
  <c r="N59" i="49"/>
  <c r="H95" i="49"/>
  <c r="AB97" i="49"/>
  <c r="N57" i="49"/>
  <c r="N64" i="49"/>
  <c r="I95" i="49"/>
  <c r="AC95" i="49"/>
  <c r="X95" i="49"/>
  <c r="N55" i="49"/>
  <c r="Y66" i="49"/>
  <c r="AH31" i="49"/>
  <c r="AH32" i="49" s="1"/>
  <c r="N56" i="49"/>
  <c r="P95" i="49"/>
  <c r="V95" i="49"/>
  <c r="M95" i="49"/>
  <c r="N49" i="49"/>
  <c r="N51" i="49" s="1"/>
  <c r="N63" i="49"/>
  <c r="Z95" i="49"/>
  <c r="F97" i="49"/>
  <c r="F18" i="49" s="1"/>
  <c r="N60" i="49"/>
  <c r="N65" i="49"/>
  <c r="N61" i="49"/>
  <c r="AA55" i="44"/>
  <c r="Z49" i="44"/>
  <c r="Z51" i="44" s="1"/>
  <c r="AB54" i="44"/>
  <c r="AA58" i="44"/>
  <c r="AB57" i="44"/>
  <c r="Z59" i="44"/>
  <c r="M67" i="44"/>
  <c r="AA63" i="44"/>
  <c r="AB62" i="44"/>
  <c r="AB65" i="44"/>
  <c r="AB61" i="44"/>
  <c r="Z62" i="44"/>
  <c r="AA54" i="44"/>
  <c r="AB55" i="44"/>
  <c r="Z54" i="44"/>
  <c r="AA50" i="44"/>
  <c r="AA52" i="44" s="1"/>
  <c r="AB58" i="44"/>
  <c r="Z56" i="44"/>
  <c r="AA59" i="44"/>
  <c r="AB63" i="44"/>
  <c r="Z57" i="44"/>
  <c r="AA60" i="44"/>
  <c r="Z64" i="44"/>
  <c r="AA49" i="44"/>
  <c r="AA51" i="44" s="1"/>
  <c r="Z50" i="44"/>
  <c r="Z52" i="44" s="1"/>
  <c r="AA56" i="44"/>
  <c r="AB50" i="44"/>
  <c r="AB52" i="44" s="1"/>
  <c r="Z60" i="44"/>
  <c r="AA64" i="44"/>
  <c r="AB64" i="44"/>
  <c r="Z65" i="44"/>
  <c r="AA57" i="44"/>
  <c r="AB60" i="44"/>
  <c r="Z61" i="44"/>
  <c r="AA62" i="44"/>
  <c r="AB49" i="44"/>
  <c r="AB51" i="44" s="1"/>
  <c r="Z55" i="44"/>
  <c r="AA65" i="44"/>
  <c r="AB59" i="44"/>
  <c r="Z58" i="44"/>
  <c r="D62" i="44"/>
  <c r="O66" i="44"/>
  <c r="D54" i="44"/>
  <c r="D49" i="44"/>
  <c r="D51" i="44" s="1"/>
  <c r="AA56" i="49"/>
  <c r="AH45" i="49"/>
  <c r="AH46" i="49" s="1"/>
  <c r="AA64" i="49"/>
  <c r="AA49" i="49"/>
  <c r="AA51" i="49" s="1"/>
  <c r="AA50" i="49"/>
  <c r="AA52" i="49" s="1"/>
  <c r="AA58" i="49"/>
  <c r="AA60" i="49"/>
  <c r="AA62" i="49"/>
  <c r="AA66" i="49" s="1"/>
  <c r="AA57" i="49"/>
  <c r="AA55" i="49"/>
  <c r="AA65" i="49"/>
  <c r="AH39" i="49"/>
  <c r="AH40" i="49" s="1"/>
  <c r="AA61" i="49"/>
  <c r="AA54" i="49"/>
  <c r="F61" i="51"/>
  <c r="G59" i="51"/>
  <c r="E59" i="51"/>
  <c r="G58" i="51"/>
  <c r="G49" i="51"/>
  <c r="G51" i="51" s="1"/>
  <c r="G55" i="51"/>
  <c r="F55" i="51"/>
  <c r="G54" i="51"/>
  <c r="F50" i="51"/>
  <c r="F52" i="51" s="1"/>
  <c r="E66" i="51"/>
  <c r="G62" i="51"/>
  <c r="F64" i="51"/>
  <c r="K49" i="51"/>
  <c r="K51" i="51" s="1"/>
  <c r="F56" i="51"/>
  <c r="F62" i="51"/>
  <c r="M59" i="51"/>
  <c r="F57" i="51"/>
  <c r="F58" i="51"/>
  <c r="F63" i="51"/>
  <c r="M60" i="51"/>
  <c r="G56" i="51"/>
  <c r="M56" i="51"/>
  <c r="G65" i="51"/>
  <c r="G61" i="51"/>
  <c r="V66" i="48"/>
  <c r="I67" i="48"/>
  <c r="G21" i="50"/>
  <c r="G22" i="50" s="1"/>
  <c r="G26" i="50" s="1"/>
  <c r="F21" i="50"/>
  <c r="F22" i="50" s="1"/>
  <c r="F26" i="50" s="1"/>
  <c r="W64" i="50"/>
  <c r="N50" i="50"/>
  <c r="N52" i="50" s="1"/>
  <c r="I67" i="50"/>
  <c r="N21" i="50"/>
  <c r="N22" i="50" s="1"/>
  <c r="N26" i="50" s="1"/>
  <c r="J21" i="50"/>
  <c r="J22" i="50" s="1"/>
  <c r="J26" i="50" s="1"/>
  <c r="K54" i="50"/>
  <c r="I21" i="50"/>
  <c r="I22" i="50" s="1"/>
  <c r="K21" i="50"/>
  <c r="K22" i="50" s="1"/>
  <c r="E66" i="50"/>
  <c r="K55" i="50"/>
  <c r="V21" i="50"/>
  <c r="V22" i="50" s="1"/>
  <c r="P21" i="50"/>
  <c r="T21" i="50"/>
  <c r="T22" i="50" s="1"/>
  <c r="W57" i="50"/>
  <c r="H21" i="50"/>
  <c r="H22" i="50" s="1"/>
  <c r="H26" i="50" s="1"/>
  <c r="L21" i="50"/>
  <c r="L22" i="50" s="1"/>
  <c r="N63" i="50"/>
  <c r="B63" i="50"/>
  <c r="K60" i="50"/>
  <c r="W49" i="50"/>
  <c r="W51" i="50" s="1"/>
  <c r="S21" i="50"/>
  <c r="S22" i="50" s="1"/>
  <c r="N56" i="50"/>
  <c r="W58" i="50"/>
  <c r="W59" i="50"/>
  <c r="B65" i="50"/>
  <c r="K64" i="50"/>
  <c r="Q21" i="50"/>
  <c r="Q22" i="50" s="1"/>
  <c r="O21" i="50"/>
  <c r="O22" i="50" s="1"/>
  <c r="O26" i="50" s="1"/>
  <c r="E21" i="50"/>
  <c r="E22" i="50" s="1"/>
  <c r="E26" i="50" s="1"/>
  <c r="N62" i="50"/>
  <c r="L64" i="50"/>
  <c r="B49" i="50"/>
  <c r="B51" i="50" s="1"/>
  <c r="K61" i="50"/>
  <c r="K63" i="50"/>
  <c r="W50" i="50"/>
  <c r="W52" i="50" s="1"/>
  <c r="N60" i="50"/>
  <c r="L49" i="50"/>
  <c r="L51" i="50" s="1"/>
  <c r="B64" i="50"/>
  <c r="W60" i="50"/>
  <c r="W21" i="50"/>
  <c r="W22" i="50" s="1"/>
  <c r="W28" i="50" s="1"/>
  <c r="B21" i="50"/>
  <c r="B22" i="50" s="1"/>
  <c r="B26" i="50" s="1"/>
  <c r="B62" i="50"/>
  <c r="U59" i="50"/>
  <c r="Y21" i="50"/>
  <c r="W56" i="50"/>
  <c r="R21" i="50"/>
  <c r="R22" i="50" s="1"/>
  <c r="N49" i="50"/>
  <c r="N51" i="50" s="1"/>
  <c r="B54" i="50"/>
  <c r="D21" i="50"/>
  <c r="D22" i="50" s="1"/>
  <c r="U65" i="50"/>
  <c r="X21" i="50"/>
  <c r="K50" i="50"/>
  <c r="K52" i="50" s="1"/>
  <c r="W62" i="50"/>
  <c r="C21" i="50"/>
  <c r="C22" i="50" s="1"/>
  <c r="C26" i="50" s="1"/>
  <c r="W63" i="50"/>
  <c r="Z49" i="50"/>
  <c r="P55" i="50"/>
  <c r="Z21" i="50"/>
  <c r="Z22" i="50" s="1"/>
  <c r="Z26" i="50" s="1"/>
  <c r="W61" i="50"/>
  <c r="T51" i="42"/>
  <c r="B154" i="42" s="1"/>
  <c r="B155" i="42" s="1"/>
  <c r="B152" i="42"/>
  <c r="T65" i="42"/>
  <c r="C167" i="42" s="1"/>
  <c r="D167" i="42" s="1"/>
  <c r="S63" i="42"/>
  <c r="I58" i="42"/>
  <c r="T64" i="42"/>
  <c r="B166" i="42" s="1"/>
  <c r="B167" i="42" s="1"/>
  <c r="S60" i="42"/>
  <c r="T55" i="42"/>
  <c r="C157" i="42" s="1"/>
  <c r="D157" i="42" s="1"/>
  <c r="E55" i="42"/>
  <c r="V67" i="42"/>
  <c r="S49" i="42"/>
  <c r="S51" i="42" s="1"/>
  <c r="T54" i="42"/>
  <c r="B156" i="42" s="1"/>
  <c r="S50" i="42"/>
  <c r="S52" i="42" s="1"/>
  <c r="T57" i="42"/>
  <c r="C159" i="42" s="1"/>
  <c r="D159" i="42" s="1"/>
  <c r="E57" i="42"/>
  <c r="C67" i="42"/>
  <c r="O95" i="42"/>
  <c r="S61" i="42"/>
  <c r="T56" i="42"/>
  <c r="B158" i="42" s="1"/>
  <c r="B159" i="42" s="1"/>
  <c r="P95" i="42"/>
  <c r="S65" i="42"/>
  <c r="T59" i="42"/>
  <c r="C161" i="42" s="1"/>
  <c r="D161" i="42" s="1"/>
  <c r="H95" i="42"/>
  <c r="S54" i="42"/>
  <c r="T58" i="42"/>
  <c r="B160" i="42" s="1"/>
  <c r="B161" i="42" s="1"/>
  <c r="S56" i="42"/>
  <c r="T63" i="42"/>
  <c r="H67" i="42"/>
  <c r="C66" i="42"/>
  <c r="I64" i="42"/>
  <c r="S58" i="42"/>
  <c r="T62" i="42"/>
  <c r="B164" i="42" s="1"/>
  <c r="T24" i="42"/>
  <c r="T98" i="42" s="1"/>
  <c r="I49" i="42"/>
  <c r="I51" i="42" s="1"/>
  <c r="S62" i="42"/>
  <c r="Y97" i="42"/>
  <c r="Y18" i="42" s="1"/>
  <c r="S64" i="42"/>
  <c r="T50" i="42"/>
  <c r="E49" i="42"/>
  <c r="E51" i="42" s="1"/>
  <c r="AH32" i="57"/>
  <c r="AH34" i="57"/>
  <c r="AI32" i="57"/>
  <c r="AI30" i="57"/>
  <c r="Y27" i="57"/>
  <c r="H28" i="57"/>
  <c r="AH40" i="57"/>
  <c r="AH52" i="57"/>
  <c r="W28" i="57"/>
  <c r="P26" i="57"/>
  <c r="P27" i="57" s="1"/>
  <c r="G28" i="57"/>
  <c r="E26" i="57"/>
  <c r="E27" i="57" s="1"/>
  <c r="E28" i="57"/>
  <c r="C26" i="57"/>
  <c r="C27" i="57" s="1"/>
  <c r="V28" i="57"/>
  <c r="M26" i="57"/>
  <c r="M27" i="57" s="1"/>
  <c r="O28" i="57"/>
  <c r="K26" i="57"/>
  <c r="K27" i="57" s="1"/>
  <c r="M28" i="57"/>
  <c r="F28" i="57"/>
  <c r="D26" i="57"/>
  <c r="D27" i="57" s="1"/>
  <c r="L28" i="57"/>
  <c r="J26" i="57"/>
  <c r="J27" i="57" s="1"/>
  <c r="B153" i="57"/>
  <c r="D152" i="57"/>
  <c r="H26" i="57"/>
  <c r="H27" i="57" s="1"/>
  <c r="J28" i="57"/>
  <c r="B155" i="57"/>
  <c r="D154" i="57"/>
  <c r="B157" i="57"/>
  <c r="D156" i="57"/>
  <c r="Y28" i="57"/>
  <c r="B28" i="57"/>
  <c r="D28" i="57"/>
  <c r="B26" i="57"/>
  <c r="B27" i="57" s="1"/>
  <c r="U28" i="57"/>
  <c r="T28" i="57"/>
  <c r="S28" i="57"/>
  <c r="R28" i="57"/>
  <c r="Q28" i="57"/>
  <c r="P28" i="57"/>
  <c r="N26" i="57"/>
  <c r="N27" i="57" s="1"/>
  <c r="R27" i="57"/>
  <c r="N28" i="57"/>
  <c r="I28" i="57"/>
  <c r="G26" i="57"/>
  <c r="G27" i="57" s="1"/>
  <c r="K28" i="57"/>
  <c r="X26" i="57"/>
  <c r="X27" i="57" s="1"/>
  <c r="C28" i="57"/>
  <c r="Q27" i="57"/>
  <c r="E56" i="42"/>
  <c r="J61" i="42"/>
  <c r="G60" i="42"/>
  <c r="N30" i="42"/>
  <c r="B61" i="42"/>
  <c r="AH45" i="42" s="1"/>
  <c r="AH46" i="42" s="1"/>
  <c r="B64" i="42"/>
  <c r="B63" i="42"/>
  <c r="E58" i="42"/>
  <c r="B55" i="42"/>
  <c r="N56" i="42"/>
  <c r="K60" i="42"/>
  <c r="V95" i="42"/>
  <c r="G62" i="42"/>
  <c r="N49" i="42"/>
  <c r="N51" i="42" s="1"/>
  <c r="K61" i="42"/>
  <c r="Q95" i="42"/>
  <c r="G54" i="42"/>
  <c r="J30" i="42"/>
  <c r="K59" i="42"/>
  <c r="K54" i="42"/>
  <c r="K55" i="42"/>
  <c r="G58" i="42"/>
  <c r="M58" i="42"/>
  <c r="X67" i="42"/>
  <c r="Y30" i="42"/>
  <c r="N55" i="42"/>
  <c r="D160" i="42"/>
  <c r="E65" i="42"/>
  <c r="G61" i="42"/>
  <c r="P30" i="42"/>
  <c r="B50" i="42"/>
  <c r="B54" i="42"/>
  <c r="E59" i="42"/>
  <c r="G55" i="42"/>
  <c r="H30" i="42"/>
  <c r="B65" i="42"/>
  <c r="AH49" i="42" s="1"/>
  <c r="AH50" i="42" s="1"/>
  <c r="J65" i="42"/>
  <c r="M26" i="50"/>
  <c r="I23" i="50"/>
  <c r="I25" i="50" s="1"/>
  <c r="Q57" i="50"/>
  <c r="C159" i="50" s="1"/>
  <c r="D159" i="50" s="1"/>
  <c r="Q50" i="50"/>
  <c r="Q56" i="50"/>
  <c r="B158" i="50" s="1"/>
  <c r="D30" i="50"/>
  <c r="W23" i="50"/>
  <c r="T23" i="50"/>
  <c r="Q60" i="50"/>
  <c r="B162" i="50" s="1"/>
  <c r="Q49" i="50"/>
  <c r="M60" i="50"/>
  <c r="M55" i="50"/>
  <c r="Q65" i="50"/>
  <c r="C167" i="50" s="1"/>
  <c r="D167" i="50" s="1"/>
  <c r="V64" i="50"/>
  <c r="V66" i="50" s="1"/>
  <c r="K65" i="50"/>
  <c r="M65" i="50"/>
  <c r="R61" i="50"/>
  <c r="R55" i="50"/>
  <c r="N30" i="50"/>
  <c r="M23" i="50"/>
  <c r="M25" i="50" s="1"/>
  <c r="O23" i="50"/>
  <c r="J66" i="50"/>
  <c r="Q54" i="50"/>
  <c r="B156" i="50" s="1"/>
  <c r="Y63" i="50"/>
  <c r="V50" i="50"/>
  <c r="V52" i="50" s="1"/>
  <c r="F57" i="50"/>
  <c r="W65" i="50"/>
  <c r="J30" i="50"/>
  <c r="D23" i="50"/>
  <c r="Z23" i="50"/>
  <c r="Q63" i="50"/>
  <c r="C165" i="50" s="1"/>
  <c r="D165" i="50" s="1"/>
  <c r="X67" i="50"/>
  <c r="Y54" i="50"/>
  <c r="H55" i="50"/>
  <c r="F63" i="50"/>
  <c r="D160" i="50"/>
  <c r="M30" i="50"/>
  <c r="V23" i="50"/>
  <c r="S23" i="50"/>
  <c r="J67" i="50"/>
  <c r="Q55" i="50"/>
  <c r="Y56" i="50"/>
  <c r="I66" i="50"/>
  <c r="Y57" i="50"/>
  <c r="Y30" i="50"/>
  <c r="G23" i="50"/>
  <c r="G25" i="50" s="1"/>
  <c r="L23" i="50"/>
  <c r="M59" i="50"/>
  <c r="Y61" i="50"/>
  <c r="Y60" i="50"/>
  <c r="E51" i="50"/>
  <c r="F154" i="50" s="1"/>
  <c r="E154" i="50" s="1"/>
  <c r="M64" i="50"/>
  <c r="Y64" i="50"/>
  <c r="P60" i="50"/>
  <c r="F25" i="50"/>
  <c r="M63" i="50"/>
  <c r="Y55" i="50"/>
  <c r="Y65" i="50"/>
  <c r="P56" i="50"/>
  <c r="Y59" i="50"/>
  <c r="Y58" i="50"/>
  <c r="P64" i="50"/>
  <c r="P58" i="50"/>
  <c r="E23" i="50"/>
  <c r="AH22" i="50"/>
  <c r="G30" i="50"/>
  <c r="Q23" i="50"/>
  <c r="X66" i="50"/>
  <c r="Y50" i="50"/>
  <c r="V61" i="50"/>
  <c r="K59" i="50"/>
  <c r="N61" i="50"/>
  <c r="P49" i="50"/>
  <c r="P51" i="50" s="1"/>
  <c r="P23" i="50"/>
  <c r="P25" i="50" s="1"/>
  <c r="Y23" i="50"/>
  <c r="Y25" i="50" s="1"/>
  <c r="M54" i="50"/>
  <c r="Y49" i="50"/>
  <c r="Y51" i="50" s="1"/>
  <c r="Y22" i="50"/>
  <c r="Y26" i="50" s="1"/>
  <c r="K30" i="50"/>
  <c r="U23" i="50"/>
  <c r="V57" i="50"/>
  <c r="K58" i="50"/>
  <c r="P61" i="50"/>
  <c r="P62" i="50"/>
  <c r="B23" i="50"/>
  <c r="N23" i="50"/>
  <c r="G66" i="50"/>
  <c r="K23" i="50"/>
  <c r="M62" i="50"/>
  <c r="I30" i="50"/>
  <c r="H23" i="50"/>
  <c r="F30" i="50"/>
  <c r="V65" i="50"/>
  <c r="K56" i="50"/>
  <c r="P59" i="50"/>
  <c r="W54" i="48"/>
  <c r="D61" i="48"/>
  <c r="T65" i="48"/>
  <c r="D62" i="48"/>
  <c r="W57" i="48"/>
  <c r="D64" i="48"/>
  <c r="T50" i="48"/>
  <c r="T52" i="48" s="1"/>
  <c r="W56" i="48"/>
  <c r="D60" i="48"/>
  <c r="T54" i="48"/>
  <c r="D49" i="48"/>
  <c r="D51" i="48" s="1"/>
  <c r="T55" i="48"/>
  <c r="W49" i="48"/>
  <c r="W51" i="48" s="1"/>
  <c r="D55" i="48"/>
  <c r="T56" i="48"/>
  <c r="B157" i="48"/>
  <c r="N66" i="48"/>
  <c r="W58" i="48"/>
  <c r="T57" i="48"/>
  <c r="W60" i="48"/>
  <c r="T49" i="48"/>
  <c r="T51" i="48" s="1"/>
  <c r="W62" i="48"/>
  <c r="T58" i="48"/>
  <c r="W64" i="48"/>
  <c r="T60" i="48"/>
  <c r="W59" i="48"/>
  <c r="T62" i="48"/>
  <c r="W61" i="48"/>
  <c r="T64" i="48"/>
  <c r="W63" i="48"/>
  <c r="T59" i="48"/>
  <c r="W65" i="48"/>
  <c r="D54" i="48"/>
  <c r="T61" i="48"/>
  <c r="B65" i="51"/>
  <c r="C67" i="51"/>
  <c r="B63" i="51"/>
  <c r="F65" i="51"/>
  <c r="J66" i="51"/>
  <c r="K30" i="51"/>
  <c r="E49" i="51"/>
  <c r="E51" i="51" s="1"/>
  <c r="B64" i="51"/>
  <c r="B166" i="51" s="1"/>
  <c r="M64" i="51"/>
  <c r="C24" i="51"/>
  <c r="B24" i="51"/>
  <c r="C157" i="51"/>
  <c r="D157" i="51" s="1"/>
  <c r="D67" i="51"/>
  <c r="I56" i="51"/>
  <c r="I66" i="51" s="1"/>
  <c r="B49" i="51"/>
  <c r="B51" i="51" s="1"/>
  <c r="B154" i="51" s="1"/>
  <c r="B52" i="51"/>
  <c r="C155" i="51" s="1"/>
  <c r="D155" i="51" s="1"/>
  <c r="D66" i="51"/>
  <c r="C153" i="51"/>
  <c r="D153" i="51" s="1"/>
  <c r="B57" i="51"/>
  <c r="AH43" i="51" s="1"/>
  <c r="AH44" i="51" s="1"/>
  <c r="AB23" i="49"/>
  <c r="Z23" i="49"/>
  <c r="F153" i="49"/>
  <c r="E153" i="49" s="1"/>
  <c r="B67" i="49"/>
  <c r="N95" i="49"/>
  <c r="L97" i="49"/>
  <c r="C97" i="49"/>
  <c r="C18" i="49" s="1"/>
  <c r="K67" i="49"/>
  <c r="L95" i="49"/>
  <c r="S95" i="49"/>
  <c r="Q97" i="49"/>
  <c r="Q95" i="49"/>
  <c r="F152" i="49"/>
  <c r="E152" i="49" s="1"/>
  <c r="D95" i="49"/>
  <c r="W95" i="49"/>
  <c r="O97" i="49"/>
  <c r="E95" i="49"/>
  <c r="D97" i="49"/>
  <c r="D18" i="49" s="1"/>
  <c r="X97" i="49"/>
  <c r="R67" i="49"/>
  <c r="Y95" i="49"/>
  <c r="E97" i="49"/>
  <c r="E18" i="49" s="1"/>
  <c r="B95" i="49"/>
  <c r="B161" i="49"/>
  <c r="G95" i="49"/>
  <c r="H97" i="49"/>
  <c r="H18" i="49" s="1"/>
  <c r="T95" i="49"/>
  <c r="O66" i="49"/>
  <c r="U95" i="49"/>
  <c r="J97" i="49"/>
  <c r="J18" i="49" s="1"/>
  <c r="AH29" i="49"/>
  <c r="AH30" i="49" s="1"/>
  <c r="AC23" i="49"/>
  <c r="E23" i="49"/>
  <c r="M60" i="49"/>
  <c r="X49" i="49"/>
  <c r="X51" i="49" s="1"/>
  <c r="G23" i="49"/>
  <c r="V23" i="49"/>
  <c r="M55" i="49"/>
  <c r="X65" i="49"/>
  <c r="K23" i="49"/>
  <c r="I23" i="49"/>
  <c r="J24" i="49"/>
  <c r="M49" i="49"/>
  <c r="M51" i="49" s="1"/>
  <c r="X64" i="49"/>
  <c r="H23" i="49"/>
  <c r="W23" i="49"/>
  <c r="M54" i="49"/>
  <c r="X55" i="49"/>
  <c r="Y23" i="49"/>
  <c r="Q23" i="49"/>
  <c r="M50" i="49"/>
  <c r="M52" i="49" s="1"/>
  <c r="X50" i="49"/>
  <c r="X52" i="49" s="1"/>
  <c r="D66" i="49"/>
  <c r="X62" i="49"/>
  <c r="D23" i="49"/>
  <c r="L23" i="49"/>
  <c r="U23" i="49"/>
  <c r="P67" i="49"/>
  <c r="X60" i="49"/>
  <c r="I67" i="49"/>
  <c r="O23" i="49"/>
  <c r="F23" i="49"/>
  <c r="M64" i="49"/>
  <c r="Q67" i="49"/>
  <c r="P23" i="49"/>
  <c r="S23" i="49"/>
  <c r="M63" i="49"/>
  <c r="C23" i="49"/>
  <c r="B23" i="49"/>
  <c r="N23" i="49"/>
  <c r="M61" i="49"/>
  <c r="X54" i="49"/>
  <c r="AH22" i="49"/>
  <c r="T23" i="49"/>
  <c r="AA23" i="49"/>
  <c r="M59" i="49"/>
  <c r="X63" i="49"/>
  <c r="J23" i="49"/>
  <c r="M23" i="49"/>
  <c r="M58" i="49"/>
  <c r="X61" i="49"/>
  <c r="X23" i="49"/>
  <c r="D156" i="49"/>
  <c r="B157" i="49"/>
  <c r="AH23" i="49"/>
  <c r="C67" i="49"/>
  <c r="V66" i="49"/>
  <c r="W67" i="49"/>
  <c r="G67" i="49"/>
  <c r="AB56" i="49"/>
  <c r="J66" i="49"/>
  <c r="Y67" i="49"/>
  <c r="AB50" i="49"/>
  <c r="AB52" i="49" s="1"/>
  <c r="V67" i="49"/>
  <c r="AB57" i="49"/>
  <c r="T67" i="49"/>
  <c r="L66" i="49"/>
  <c r="AB49" i="49"/>
  <c r="AB51" i="49" s="1"/>
  <c r="AB64" i="49"/>
  <c r="O67" i="49"/>
  <c r="AB55" i="49"/>
  <c r="D67" i="49"/>
  <c r="AB58" i="49"/>
  <c r="C153" i="49"/>
  <c r="D153" i="49" s="1"/>
  <c r="S67" i="49"/>
  <c r="AB62" i="49"/>
  <c r="AB65" i="49"/>
  <c r="AB54" i="49"/>
  <c r="B153" i="49"/>
  <c r="C66" i="49"/>
  <c r="AB61" i="49"/>
  <c r="W66" i="49"/>
  <c r="T66" i="49"/>
  <c r="L67" i="49"/>
  <c r="AB59" i="49"/>
  <c r="I66" i="49"/>
  <c r="AB63" i="49"/>
  <c r="F66" i="49"/>
  <c r="Q66" i="49"/>
  <c r="W54" i="44"/>
  <c r="W61" i="44"/>
  <c r="W64" i="44"/>
  <c r="H65" i="44"/>
  <c r="H50" i="44"/>
  <c r="H52" i="44" s="1"/>
  <c r="H60" i="44"/>
  <c r="I61" i="44"/>
  <c r="H64" i="44"/>
  <c r="I56" i="44"/>
  <c r="H54" i="44"/>
  <c r="I49" i="44"/>
  <c r="I51" i="44" s="1"/>
  <c r="H58" i="44"/>
  <c r="I64" i="44"/>
  <c r="I62" i="44"/>
  <c r="I55" i="44"/>
  <c r="H62" i="44"/>
  <c r="H49" i="44"/>
  <c r="H51" i="44" s="1"/>
  <c r="I60" i="44"/>
  <c r="I50" i="44"/>
  <c r="I52" i="44" s="1"/>
  <c r="I54" i="44"/>
  <c r="H63" i="44"/>
  <c r="I57" i="44"/>
  <c r="I59" i="44"/>
  <c r="I58" i="44"/>
  <c r="H59" i="44"/>
  <c r="I65" i="44"/>
  <c r="H57" i="44"/>
  <c r="H61" i="44"/>
  <c r="U24" i="44"/>
  <c r="J50" i="44"/>
  <c r="J52" i="44" s="1"/>
  <c r="J61" i="44"/>
  <c r="J49" i="44"/>
  <c r="J51" i="44" s="1"/>
  <c r="R54" i="44"/>
  <c r="B156" i="44" s="1"/>
  <c r="F65" i="44"/>
  <c r="F167" i="44" s="1"/>
  <c r="E167" i="44" s="1"/>
  <c r="J54" i="44"/>
  <c r="F64" i="44"/>
  <c r="F166" i="44" s="1"/>
  <c r="E166" i="44" s="1"/>
  <c r="B49" i="44"/>
  <c r="B51" i="44" s="1"/>
  <c r="J60" i="44"/>
  <c r="R60" i="44"/>
  <c r="B162" i="44" s="1"/>
  <c r="B163" i="44" s="1"/>
  <c r="J59" i="44"/>
  <c r="R63" i="44"/>
  <c r="C165" i="44" s="1"/>
  <c r="D165" i="44" s="1"/>
  <c r="F61" i="44"/>
  <c r="F163" i="44" s="1"/>
  <c r="E163" i="44" s="1"/>
  <c r="F62" i="44"/>
  <c r="F164" i="44" s="1"/>
  <c r="E164" i="44" s="1"/>
  <c r="F50" i="44"/>
  <c r="F52" i="44" s="1"/>
  <c r="F155" i="44" s="1"/>
  <c r="E155" i="44" s="1"/>
  <c r="J57" i="44"/>
  <c r="J58" i="44"/>
  <c r="R57" i="44"/>
  <c r="C159" i="44" s="1"/>
  <c r="D159" i="44" s="1"/>
  <c r="R62" i="44"/>
  <c r="B164" i="44" s="1"/>
  <c r="F60" i="44"/>
  <c r="U98" i="44"/>
  <c r="Q67" i="44"/>
  <c r="R61" i="44"/>
  <c r="C163" i="44" s="1"/>
  <c r="D163" i="44" s="1"/>
  <c r="F63" i="44"/>
  <c r="F165" i="44" s="1"/>
  <c r="E165" i="44" s="1"/>
  <c r="Y67" i="44"/>
  <c r="R58" i="44"/>
  <c r="B160" i="44" s="1"/>
  <c r="R56" i="44"/>
  <c r="B158" i="44" s="1"/>
  <c r="B159" i="44" s="1"/>
  <c r="F55" i="44"/>
  <c r="J55" i="44"/>
  <c r="X98" i="44"/>
  <c r="F54" i="44"/>
  <c r="F156" i="44" s="1"/>
  <c r="E156" i="44" s="1"/>
  <c r="V98" i="44"/>
  <c r="R55" i="44"/>
  <c r="C157" i="44" s="1"/>
  <c r="D157" i="44" s="1"/>
  <c r="R64" i="44"/>
  <c r="B166" i="44" s="1"/>
  <c r="D166" i="44" s="1"/>
  <c r="R50" i="44"/>
  <c r="S55" i="44"/>
  <c r="W98" i="44"/>
  <c r="I94" i="44"/>
  <c r="Z94" i="44"/>
  <c r="T55" i="44"/>
  <c r="U57" i="44"/>
  <c r="P24" i="44"/>
  <c r="B98" i="44"/>
  <c r="Q98" i="44"/>
  <c r="N94" i="44"/>
  <c r="F98" i="44"/>
  <c r="T58" i="44"/>
  <c r="U60" i="44"/>
  <c r="M24" i="44"/>
  <c r="P98" i="44"/>
  <c r="D94" i="44"/>
  <c r="R98" i="44"/>
  <c r="T98" i="44"/>
  <c r="U56" i="44"/>
  <c r="U94" i="44"/>
  <c r="G94" i="44"/>
  <c r="S94" i="44"/>
  <c r="B101" i="44"/>
  <c r="C98" i="44"/>
  <c r="T49" i="44"/>
  <c r="T51" i="44" s="1"/>
  <c r="U59" i="44"/>
  <c r="P94" i="44"/>
  <c r="K98" i="44"/>
  <c r="B94" i="44"/>
  <c r="T94" i="44"/>
  <c r="Y94" i="44"/>
  <c r="T57" i="44"/>
  <c r="Q66" i="44"/>
  <c r="U55" i="44"/>
  <c r="B50" i="44"/>
  <c r="B52" i="44" s="1"/>
  <c r="Y66" i="44"/>
  <c r="AC94" i="44"/>
  <c r="M98" i="44"/>
  <c r="M94" i="44"/>
  <c r="G98" i="44"/>
  <c r="T60" i="44"/>
  <c r="U58" i="44"/>
  <c r="AB94" i="44"/>
  <c r="S98" i="44"/>
  <c r="H94" i="44"/>
  <c r="R94" i="44"/>
  <c r="T59" i="44"/>
  <c r="U63" i="44"/>
  <c r="H98" i="44"/>
  <c r="J24" i="44"/>
  <c r="C63" i="44"/>
  <c r="AC98" i="44"/>
  <c r="AA94" i="44"/>
  <c r="N98" i="44"/>
  <c r="T61" i="44"/>
  <c r="O98" i="44"/>
  <c r="U65" i="44"/>
  <c r="L98" i="44"/>
  <c r="F94" i="44"/>
  <c r="AB98" i="44"/>
  <c r="U62" i="44"/>
  <c r="O94" i="44"/>
  <c r="I98" i="44"/>
  <c r="X94" i="44"/>
  <c r="E98" i="44"/>
  <c r="K94" i="44"/>
  <c r="AB66" i="44"/>
  <c r="AA98" i="44"/>
  <c r="L94" i="44"/>
  <c r="Q94" i="44"/>
  <c r="T65" i="44"/>
  <c r="O67" i="44"/>
  <c r="T50" i="44"/>
  <c r="T52" i="44" s="1"/>
  <c r="B54" i="44"/>
  <c r="B60" i="44"/>
  <c r="D98" i="44"/>
  <c r="E94" i="44"/>
  <c r="V94" i="44"/>
  <c r="T63" i="44"/>
  <c r="L24" i="44"/>
  <c r="Z98" i="44"/>
  <c r="J94" i="44"/>
  <c r="J98" i="44"/>
  <c r="T64" i="44"/>
  <c r="S59" i="44"/>
  <c r="I30" i="48"/>
  <c r="F30" i="48"/>
  <c r="P30" i="48"/>
  <c r="H30" i="48"/>
  <c r="B30" i="48"/>
  <c r="D164" i="48"/>
  <c r="B10" i="48"/>
  <c r="F153" i="48"/>
  <c r="E153" i="48" s="1"/>
  <c r="B7" i="48"/>
  <c r="B8" i="48" s="1"/>
  <c r="R21" i="48" s="1"/>
  <c r="B9" i="48"/>
  <c r="T23" i="48" s="1"/>
  <c r="B163" i="48"/>
  <c r="B159" i="48"/>
  <c r="D158" i="48"/>
  <c r="H97" i="48"/>
  <c r="H18" i="48" s="1"/>
  <c r="E97" i="48"/>
  <c r="E18" i="48" s="1"/>
  <c r="I95" i="48"/>
  <c r="W95" i="48"/>
  <c r="X95" i="48"/>
  <c r="B140" i="48"/>
  <c r="I97" i="48"/>
  <c r="I18" i="48" s="1"/>
  <c r="R66" i="48"/>
  <c r="I66" i="48"/>
  <c r="O67" i="48"/>
  <c r="L97" i="48"/>
  <c r="L18" i="48" s="1"/>
  <c r="J97" i="48"/>
  <c r="J18" i="48" s="1"/>
  <c r="C95" i="48"/>
  <c r="U95" i="48"/>
  <c r="G97" i="48"/>
  <c r="G18" i="48" s="1"/>
  <c r="D97" i="48"/>
  <c r="D18" i="48" s="1"/>
  <c r="N95" i="48"/>
  <c r="F66" i="48"/>
  <c r="K95" i="48"/>
  <c r="F97" i="48"/>
  <c r="F18" i="48" s="1"/>
  <c r="H95" i="48"/>
  <c r="L67" i="48"/>
  <c r="G95" i="48"/>
  <c r="V95" i="48"/>
  <c r="S95" i="48"/>
  <c r="C97" i="48"/>
  <c r="C18" i="48" s="1"/>
  <c r="V67" i="48"/>
  <c r="Q97" i="48"/>
  <c r="J95" i="48"/>
  <c r="N97" i="48"/>
  <c r="D95" i="48"/>
  <c r="Y95" i="48"/>
  <c r="Q95" i="48"/>
  <c r="O97" i="48"/>
  <c r="R95" i="48"/>
  <c r="J67" i="48"/>
  <c r="F95" i="48"/>
  <c r="O95" i="48"/>
  <c r="R67" i="48"/>
  <c r="J66" i="48"/>
  <c r="B95" i="48"/>
  <c r="L95" i="48"/>
  <c r="Z95" i="48"/>
  <c r="E95" i="48"/>
  <c r="B97" i="48"/>
  <c r="B18" i="48" s="1"/>
  <c r="R97" i="48"/>
  <c r="P97" i="48"/>
  <c r="P66" i="48"/>
  <c r="U58" i="48"/>
  <c r="K97" i="48"/>
  <c r="K18" i="48" s="1"/>
  <c r="Z97" i="48"/>
  <c r="Z18" i="48" s="1"/>
  <c r="T95" i="48"/>
  <c r="S97" i="48"/>
  <c r="N67" i="48"/>
  <c r="L66" i="48"/>
  <c r="P67" i="48"/>
  <c r="D66" i="48"/>
  <c r="U60" i="48"/>
  <c r="AI30" i="51"/>
  <c r="AI34" i="51" s="1"/>
  <c r="U21" i="42"/>
  <c r="B21" i="42"/>
  <c r="C21" i="42"/>
  <c r="M21" i="42"/>
  <c r="L21" i="42"/>
  <c r="P21" i="42"/>
  <c r="O21" i="42"/>
  <c r="V21" i="42"/>
  <c r="F21" i="42"/>
  <c r="K21" i="42"/>
  <c r="T21" i="42"/>
  <c r="I21" i="42"/>
  <c r="N21" i="42"/>
  <c r="D21" i="42"/>
  <c r="J21" i="42"/>
  <c r="J22" i="42" s="1"/>
  <c r="E21" i="42"/>
  <c r="G21" i="42"/>
  <c r="Q21" i="42"/>
  <c r="S21" i="42"/>
  <c r="H21" i="42"/>
  <c r="X21" i="42"/>
  <c r="R21" i="42"/>
  <c r="W21" i="42"/>
  <c r="Y21" i="42"/>
  <c r="D154" i="42"/>
  <c r="R59" i="42"/>
  <c r="R60" i="42"/>
  <c r="O56" i="42"/>
  <c r="D63" i="42"/>
  <c r="F165" i="42" s="1"/>
  <c r="E165" i="42" s="1"/>
  <c r="B49" i="42"/>
  <c r="B51" i="42" s="1"/>
  <c r="D23" i="42"/>
  <c r="D97" i="42" s="1"/>
  <c r="D18" i="42" s="1"/>
  <c r="R23" i="42"/>
  <c r="R97" i="42" s="1"/>
  <c r="O63" i="42"/>
  <c r="R63" i="42"/>
  <c r="O65" i="42"/>
  <c r="D50" i="42"/>
  <c r="K23" i="42"/>
  <c r="K97" i="42" s="1"/>
  <c r="K18" i="42" s="1"/>
  <c r="J23" i="42"/>
  <c r="J97" i="42" s="1"/>
  <c r="J18" i="42" s="1"/>
  <c r="R49" i="42"/>
  <c r="R51" i="42" s="1"/>
  <c r="O61" i="42"/>
  <c r="O55" i="42"/>
  <c r="D54" i="42"/>
  <c r="T23" i="42"/>
  <c r="T97" i="42" s="1"/>
  <c r="F23" i="42"/>
  <c r="F97" i="42" s="1"/>
  <c r="F18" i="42" s="1"/>
  <c r="S23" i="42"/>
  <c r="S97" i="42" s="1"/>
  <c r="R57" i="42"/>
  <c r="O58" i="42"/>
  <c r="D49" i="42"/>
  <c r="D64" i="42"/>
  <c r="F166" i="42" s="1"/>
  <c r="E166" i="42" s="1"/>
  <c r="R58" i="42"/>
  <c r="O23" i="42"/>
  <c r="O97" i="42" s="1"/>
  <c r="O18" i="42" s="1"/>
  <c r="W23" i="42"/>
  <c r="W97" i="42" s="1"/>
  <c r="W18" i="42" s="1"/>
  <c r="V23" i="42"/>
  <c r="V97" i="42" s="1"/>
  <c r="O57" i="42"/>
  <c r="X66" i="42"/>
  <c r="O60" i="42"/>
  <c r="D65" i="42"/>
  <c r="F167" i="42" s="1"/>
  <c r="E167" i="42" s="1"/>
  <c r="R62" i="42"/>
  <c r="Q23" i="42"/>
  <c r="Q97" i="42" s="1"/>
  <c r="N23" i="42"/>
  <c r="N97" i="42" s="1"/>
  <c r="N18" i="42" s="1"/>
  <c r="L23" i="42"/>
  <c r="L97" i="42" s="1"/>
  <c r="L18" i="42" s="1"/>
  <c r="B23" i="42"/>
  <c r="B97" i="42" s="1"/>
  <c r="B18" i="42" s="1"/>
  <c r="O64" i="42"/>
  <c r="O59" i="42"/>
  <c r="D61" i="42"/>
  <c r="F163" i="42" s="1"/>
  <c r="E163" i="42" s="1"/>
  <c r="R61" i="42"/>
  <c r="H23" i="42"/>
  <c r="P23" i="42"/>
  <c r="E23" i="42"/>
  <c r="E97" i="42" s="1"/>
  <c r="E18" i="42" s="1"/>
  <c r="X23" i="42"/>
  <c r="X97" i="42" s="1"/>
  <c r="X18" i="42" s="1"/>
  <c r="W57" i="42"/>
  <c r="H66" i="42"/>
  <c r="O50" i="42"/>
  <c r="O52" i="42" s="1"/>
  <c r="O49" i="42"/>
  <c r="O51" i="42" s="1"/>
  <c r="D62" i="42"/>
  <c r="F164" i="42" s="1"/>
  <c r="E164" i="42" s="1"/>
  <c r="C23" i="42"/>
  <c r="C97" i="42" s="1"/>
  <c r="C18" i="42" s="1"/>
  <c r="I23" i="42"/>
  <c r="I97" i="42" s="1"/>
  <c r="I18" i="42" s="1"/>
  <c r="U23" i="42"/>
  <c r="U97" i="42" s="1"/>
  <c r="B165" i="50"/>
  <c r="D164" i="50"/>
  <c r="T54" i="50"/>
  <c r="T63" i="50"/>
  <c r="O63" i="50"/>
  <c r="T56" i="50"/>
  <c r="O65" i="50"/>
  <c r="N55" i="50"/>
  <c r="D28" i="50"/>
  <c r="T55" i="50"/>
  <c r="T61" i="50"/>
  <c r="T60" i="50"/>
  <c r="O50" i="50"/>
  <c r="O52" i="50" s="1"/>
  <c r="N64" i="50"/>
  <c r="N54" i="50"/>
  <c r="N59" i="50"/>
  <c r="T49" i="50"/>
  <c r="T51" i="50" s="1"/>
  <c r="T57" i="50"/>
  <c r="O55" i="50"/>
  <c r="O58" i="50"/>
  <c r="S62" i="50"/>
  <c r="P22" i="50"/>
  <c r="T65" i="50"/>
  <c r="O60" i="50"/>
  <c r="O49" i="50"/>
  <c r="O51" i="50" s="1"/>
  <c r="G28" i="50"/>
  <c r="T59" i="50"/>
  <c r="O56" i="50"/>
  <c r="O61" i="50"/>
  <c r="O64" i="50"/>
  <c r="T62" i="50"/>
  <c r="O57" i="50"/>
  <c r="O54" i="50"/>
  <c r="T64" i="50"/>
  <c r="B63" i="48"/>
  <c r="AH22" i="48"/>
  <c r="C63" i="48"/>
  <c r="C67" i="48" s="1"/>
  <c r="D166" i="48"/>
  <c r="B167" i="48"/>
  <c r="D154" i="48"/>
  <c r="B155" i="48"/>
  <c r="J30" i="48"/>
  <c r="G30" i="48"/>
  <c r="Y49" i="48"/>
  <c r="Y51" i="48" s="1"/>
  <c r="Y63" i="48"/>
  <c r="H57" i="48"/>
  <c r="H65" i="48"/>
  <c r="K60" i="48"/>
  <c r="M50" i="48"/>
  <c r="M52" i="48" s="1"/>
  <c r="M65" i="48"/>
  <c r="X60" i="48"/>
  <c r="X54" i="48"/>
  <c r="U49" i="48"/>
  <c r="U51" i="48" s="1"/>
  <c r="U62" i="48"/>
  <c r="S49" i="48"/>
  <c r="S51" i="48" s="1"/>
  <c r="S65" i="48"/>
  <c r="Y30" i="48"/>
  <c r="E30" i="48"/>
  <c r="Y54" i="48"/>
  <c r="Y65" i="48"/>
  <c r="H58" i="48"/>
  <c r="H54" i="48"/>
  <c r="K50" i="48"/>
  <c r="K52" i="48" s="1"/>
  <c r="K62" i="48"/>
  <c r="M55" i="48"/>
  <c r="M57" i="48"/>
  <c r="X62" i="48"/>
  <c r="X55" i="48"/>
  <c r="U56" i="48"/>
  <c r="U64" i="48"/>
  <c r="S58" i="48"/>
  <c r="X58" i="48"/>
  <c r="S63" i="48"/>
  <c r="C30" i="48"/>
  <c r="X30" i="48"/>
  <c r="K30" i="48"/>
  <c r="Q67" i="48"/>
  <c r="Y56" i="48"/>
  <c r="Y55" i="48"/>
  <c r="H59" i="48"/>
  <c r="H56" i="48"/>
  <c r="K54" i="48"/>
  <c r="K64" i="48"/>
  <c r="M58" i="48"/>
  <c r="X64" i="48"/>
  <c r="U54" i="48"/>
  <c r="U59" i="48"/>
  <c r="S60" i="48"/>
  <c r="X50" i="48"/>
  <c r="X52" i="48" s="1"/>
  <c r="S57" i="48"/>
  <c r="D30" i="48"/>
  <c r="N30" i="48"/>
  <c r="L30" i="48"/>
  <c r="Q66" i="48"/>
  <c r="H60" i="48"/>
  <c r="K55" i="48"/>
  <c r="K59" i="48"/>
  <c r="M60" i="48"/>
  <c r="M49" i="48"/>
  <c r="M51" i="48" s="1"/>
  <c r="X56" i="48"/>
  <c r="X59" i="48"/>
  <c r="U50" i="48"/>
  <c r="U52" i="48" s="1"/>
  <c r="U61" i="48"/>
  <c r="S55" i="48"/>
  <c r="S62" i="48"/>
  <c r="B153" i="48"/>
  <c r="O30" i="48"/>
  <c r="Z30" i="48"/>
  <c r="Y50" i="48"/>
  <c r="Y52" i="48" s="1"/>
  <c r="H49" i="48"/>
  <c r="H51" i="48" s="1"/>
  <c r="H62" i="48"/>
  <c r="K56" i="48"/>
  <c r="K61" i="48"/>
  <c r="M62" i="48"/>
  <c r="M56" i="48"/>
  <c r="X57" i="48"/>
  <c r="X61" i="48"/>
  <c r="U55" i="48"/>
  <c r="U63" i="48"/>
  <c r="S50" i="48"/>
  <c r="S52" i="48" s="1"/>
  <c r="S64" i="48"/>
  <c r="M30" i="48"/>
  <c r="Y62" i="48"/>
  <c r="K57" i="48"/>
  <c r="M64" i="48"/>
  <c r="U57" i="48"/>
  <c r="S54" i="48"/>
  <c r="L59" i="51"/>
  <c r="M23" i="51"/>
  <c r="I23" i="51"/>
  <c r="L57" i="51"/>
  <c r="J30" i="51"/>
  <c r="L54" i="51"/>
  <c r="E30" i="51"/>
  <c r="M55" i="51"/>
  <c r="F54" i="51"/>
  <c r="N23" i="51"/>
  <c r="D23" i="51"/>
  <c r="D30" i="51"/>
  <c r="E67" i="51"/>
  <c r="M62" i="51"/>
  <c r="M66" i="51" s="1"/>
  <c r="M57" i="51"/>
  <c r="F59" i="51"/>
  <c r="F49" i="51"/>
  <c r="F51" i="51" s="1"/>
  <c r="L23" i="51"/>
  <c r="K23" i="51"/>
  <c r="B67" i="51"/>
  <c r="L61" i="51"/>
  <c r="L30" i="51"/>
  <c r="C23" i="51"/>
  <c r="G23" i="51"/>
  <c r="L55" i="51"/>
  <c r="H64" i="51"/>
  <c r="H66" i="51" s="1"/>
  <c r="L64" i="51"/>
  <c r="B23" i="51"/>
  <c r="M30" i="51"/>
  <c r="H55" i="51"/>
  <c r="H67" i="51" s="1"/>
  <c r="L56" i="51"/>
  <c r="E23" i="51"/>
  <c r="F30" i="51"/>
  <c r="L50" i="51"/>
  <c r="L52" i="51" s="1"/>
  <c r="L58" i="51"/>
  <c r="I61" i="51"/>
  <c r="I67" i="51" s="1"/>
  <c r="L63" i="51"/>
  <c r="B167" i="49"/>
  <c r="D166" i="49"/>
  <c r="G21" i="49"/>
  <c r="V21" i="49"/>
  <c r="P21" i="49"/>
  <c r="U21" i="49"/>
  <c r="L21" i="49"/>
  <c r="Z21" i="49"/>
  <c r="Z22" i="49" s="1"/>
  <c r="C21" i="49"/>
  <c r="F21" i="49"/>
  <c r="T21" i="49"/>
  <c r="J21" i="49"/>
  <c r="D21" i="49"/>
  <c r="D22" i="49" s="1"/>
  <c r="D26" i="49" s="1"/>
  <c r="N21" i="49"/>
  <c r="N22" i="49" s="1"/>
  <c r="N26" i="49" s="1"/>
  <c r="Y21" i="49"/>
  <c r="M21" i="49"/>
  <c r="M22" i="49" s="1"/>
  <c r="K21" i="49"/>
  <c r="AB21" i="49"/>
  <c r="B21" i="49"/>
  <c r="S21" i="49"/>
  <c r="W21" i="49"/>
  <c r="R21" i="49"/>
  <c r="H21" i="49"/>
  <c r="AC21" i="49"/>
  <c r="Q21" i="49"/>
  <c r="X21" i="49"/>
  <c r="O21" i="49"/>
  <c r="AA21" i="49"/>
  <c r="E21" i="49"/>
  <c r="I21" i="49"/>
  <c r="B165" i="49"/>
  <c r="D164" i="49"/>
  <c r="D154" i="49"/>
  <c r="B155" i="49"/>
  <c r="B163" i="49"/>
  <c r="D162" i="49"/>
  <c r="D158" i="49"/>
  <c r="B159" i="49"/>
  <c r="S24" i="49"/>
  <c r="R66" i="49"/>
  <c r="E55" i="49"/>
  <c r="E49" i="49"/>
  <c r="E51" i="49" s="1"/>
  <c r="U57" i="49"/>
  <c r="K66" i="49"/>
  <c r="H67" i="49"/>
  <c r="Z65" i="49"/>
  <c r="Z56" i="49"/>
  <c r="B142" i="49"/>
  <c r="W24" i="49"/>
  <c r="E62" i="49"/>
  <c r="U50" i="49"/>
  <c r="U52" i="49" s="1"/>
  <c r="U56" i="49"/>
  <c r="Z61" i="49"/>
  <c r="S66" i="49"/>
  <c r="V24" i="49"/>
  <c r="R24" i="49"/>
  <c r="E60" i="49"/>
  <c r="E50" i="49"/>
  <c r="E52" i="49" s="1"/>
  <c r="U62" i="49"/>
  <c r="U65" i="49"/>
  <c r="Z55" i="49"/>
  <c r="T24" i="49"/>
  <c r="L24" i="49"/>
  <c r="J67" i="49"/>
  <c r="E64" i="49"/>
  <c r="U60" i="49"/>
  <c r="Z49" i="49"/>
  <c r="Z51" i="49" s="1"/>
  <c r="M24" i="49"/>
  <c r="E65" i="49"/>
  <c r="U63" i="49"/>
  <c r="U49" i="49"/>
  <c r="U51" i="49" s="1"/>
  <c r="Z58" i="49"/>
  <c r="Z50" i="49"/>
  <c r="Z52" i="49" s="1"/>
  <c r="P24" i="49"/>
  <c r="E63" i="49"/>
  <c r="U54" i="49"/>
  <c r="U61" i="49"/>
  <c r="Z64" i="49"/>
  <c r="Z59" i="49"/>
  <c r="B66" i="49"/>
  <c r="Z62" i="49"/>
  <c r="U55" i="49"/>
  <c r="Z57" i="49"/>
  <c r="P66" i="49"/>
  <c r="N21" i="44"/>
  <c r="N22" i="44" s="1"/>
  <c r="F21" i="44"/>
  <c r="F22" i="44" s="1"/>
  <c r="F26" i="44" s="1"/>
  <c r="J21" i="44"/>
  <c r="Q21" i="44"/>
  <c r="Q22" i="44" s="1"/>
  <c r="I21" i="44"/>
  <c r="S21" i="44"/>
  <c r="S22" i="44" s="1"/>
  <c r="X21" i="44"/>
  <c r="B21" i="44"/>
  <c r="R21" i="44"/>
  <c r="R22" i="44" s="1"/>
  <c r="H21" i="44"/>
  <c r="H22" i="44" s="1"/>
  <c r="AA21" i="44"/>
  <c r="P21" i="44"/>
  <c r="P22" i="44" s="1"/>
  <c r="M21" i="44"/>
  <c r="V21" i="44"/>
  <c r="K21" i="44"/>
  <c r="K22" i="44" s="1"/>
  <c r="O21" i="44"/>
  <c r="O22" i="44" s="1"/>
  <c r="AB21" i="44"/>
  <c r="C21" i="44"/>
  <c r="C22" i="44" s="1"/>
  <c r="U21" i="44"/>
  <c r="U22" i="44" s="1"/>
  <c r="E21" i="44"/>
  <c r="Z21" i="44"/>
  <c r="Z22" i="44" s="1"/>
  <c r="Z26" i="44" s="1"/>
  <c r="Y21" i="44"/>
  <c r="Y22" i="44" s="1"/>
  <c r="Y26" i="44" s="1"/>
  <c r="W21" i="44"/>
  <c r="L21" i="44"/>
  <c r="D21" i="44"/>
  <c r="D22" i="44" s="1"/>
  <c r="D26" i="44" s="1"/>
  <c r="F51" i="44"/>
  <c r="F154" i="44" s="1"/>
  <c r="E154" i="44" s="1"/>
  <c r="F152" i="44"/>
  <c r="E152" i="44" s="1"/>
  <c r="K54" i="44"/>
  <c r="L23" i="44"/>
  <c r="P57" i="44"/>
  <c r="P67" i="44" s="1"/>
  <c r="R24" i="44"/>
  <c r="T24" i="44"/>
  <c r="P62" i="44"/>
  <c r="P56" i="44"/>
  <c r="N58" i="44"/>
  <c r="N56" i="44"/>
  <c r="D63" i="44"/>
  <c r="V62" i="44"/>
  <c r="E66" i="44"/>
  <c r="M66" i="44"/>
  <c r="X50" i="44"/>
  <c r="X52" i="44" s="1"/>
  <c r="X23" i="44"/>
  <c r="V50" i="44"/>
  <c r="V52" i="44" s="1"/>
  <c r="V56" i="44"/>
  <c r="K62" i="44"/>
  <c r="K58" i="44"/>
  <c r="F162" i="44"/>
  <c r="E162" i="44" s="1"/>
  <c r="N57" i="44"/>
  <c r="AH22" i="44"/>
  <c r="V24" i="44"/>
  <c r="P64" i="44"/>
  <c r="N49" i="44"/>
  <c r="N51" i="44" s="1"/>
  <c r="N62" i="44"/>
  <c r="D60" i="44"/>
  <c r="X64" i="44"/>
  <c r="V55" i="44"/>
  <c r="V67" i="44" s="1"/>
  <c r="K55" i="44"/>
  <c r="S57" i="44"/>
  <c r="S24" i="44"/>
  <c r="P50" i="44"/>
  <c r="P52" i="44" s="1"/>
  <c r="N50" i="44"/>
  <c r="N52" i="44" s="1"/>
  <c r="N63" i="44"/>
  <c r="V64" i="44"/>
  <c r="D50" i="44"/>
  <c r="D52" i="44" s="1"/>
  <c r="W67" i="44"/>
  <c r="D64" i="44"/>
  <c r="B11" i="44"/>
  <c r="Y30" i="44" s="1"/>
  <c r="V23" i="44"/>
  <c r="J23" i="44"/>
  <c r="F153" i="44"/>
  <c r="E153" i="44" s="1"/>
  <c r="K59" i="44"/>
  <c r="S60" i="44"/>
  <c r="D61" i="44"/>
  <c r="X56" i="44"/>
  <c r="K60" i="44"/>
  <c r="K49" i="44"/>
  <c r="D55" i="44"/>
  <c r="K61" i="44"/>
  <c r="R49" i="44"/>
  <c r="D166" i="50"/>
  <c r="B167" i="50"/>
  <c r="K21" i="51"/>
  <c r="L21" i="51"/>
  <c r="AH40" i="51"/>
  <c r="I26" i="50"/>
  <c r="V28" i="50"/>
  <c r="V24" i="50"/>
  <c r="U24" i="50"/>
  <c r="U25" i="50" s="1"/>
  <c r="U27" i="50" s="1"/>
  <c r="G66" i="49"/>
  <c r="F67" i="49"/>
  <c r="G67" i="44"/>
  <c r="AH31" i="51"/>
  <c r="AH32" i="51" s="1"/>
  <c r="R24" i="50"/>
  <c r="R25" i="50" s="1"/>
  <c r="R27" i="50" s="1"/>
  <c r="H66" i="49"/>
  <c r="N25" i="49"/>
  <c r="O66" i="48"/>
  <c r="W66" i="50"/>
  <c r="F157" i="42"/>
  <c r="E157" i="42" s="1"/>
  <c r="Q62" i="42"/>
  <c r="Q64" i="42"/>
  <c r="Q65" i="42"/>
  <c r="Q59" i="42"/>
  <c r="Q49" i="42"/>
  <c r="Q51" i="42" s="1"/>
  <c r="Q63" i="42"/>
  <c r="Q54" i="42"/>
  <c r="M62" i="42"/>
  <c r="M50" i="42"/>
  <c r="M52" i="42" s="1"/>
  <c r="M56" i="42"/>
  <c r="M61" i="42"/>
  <c r="M54" i="42"/>
  <c r="M59" i="42"/>
  <c r="M64" i="42"/>
  <c r="M55" i="42"/>
  <c r="M49" i="42"/>
  <c r="M51" i="42" s="1"/>
  <c r="M63" i="42"/>
  <c r="M57" i="42"/>
  <c r="H98" i="51"/>
  <c r="B101" i="51"/>
  <c r="Q60" i="42"/>
  <c r="N59" i="42"/>
  <c r="N64" i="42"/>
  <c r="N61" i="42"/>
  <c r="N63" i="42"/>
  <c r="N65" i="42"/>
  <c r="I62" i="42"/>
  <c r="I59" i="42"/>
  <c r="I55" i="42"/>
  <c r="I56" i="42"/>
  <c r="I50" i="42"/>
  <c r="I52" i="42" s="1"/>
  <c r="I60" i="42"/>
  <c r="B65" i="48"/>
  <c r="B64" i="48"/>
  <c r="B61" i="48"/>
  <c r="B60" i="48"/>
  <c r="B55" i="48"/>
  <c r="AH41" i="48" s="1"/>
  <c r="AH42" i="48" s="1"/>
  <c r="B54" i="48"/>
  <c r="B50" i="48"/>
  <c r="B62" i="48"/>
  <c r="B163" i="42"/>
  <c r="K66" i="42"/>
  <c r="N60" i="42"/>
  <c r="L61" i="42"/>
  <c r="L59" i="42"/>
  <c r="L62" i="42"/>
  <c r="L63" i="42"/>
  <c r="J63" i="42"/>
  <c r="J57" i="42"/>
  <c r="J54" i="42"/>
  <c r="J58" i="42"/>
  <c r="J55" i="42"/>
  <c r="J60" i="42"/>
  <c r="J49" i="42"/>
  <c r="J51" i="42" s="1"/>
  <c r="C165" i="42"/>
  <c r="D165" i="42" s="1"/>
  <c r="N95" i="42"/>
  <c r="E95" i="42"/>
  <c r="L95" i="42"/>
  <c r="Y95" i="42"/>
  <c r="W95" i="42"/>
  <c r="R95" i="42"/>
  <c r="T95" i="42"/>
  <c r="F95" i="42"/>
  <c r="C95" i="42"/>
  <c r="D95" i="42"/>
  <c r="I95" i="42"/>
  <c r="G95" i="42"/>
  <c r="G97" i="42"/>
  <c r="G18" i="42" s="1"/>
  <c r="H23" i="44"/>
  <c r="K23" i="44"/>
  <c r="R23" i="44"/>
  <c r="O23" i="44"/>
  <c r="C23" i="44"/>
  <c r="N23" i="44"/>
  <c r="F23" i="44"/>
  <c r="Y23" i="44"/>
  <c r="G23" i="44"/>
  <c r="Q23" i="44"/>
  <c r="U23" i="44"/>
  <c r="P23" i="44"/>
  <c r="D23" i="44"/>
  <c r="S23" i="44"/>
  <c r="Z23" i="44"/>
  <c r="N50" i="42"/>
  <c r="N52" i="42" s="1"/>
  <c r="I63" i="42"/>
  <c r="J50" i="42"/>
  <c r="J52" i="42" s="1"/>
  <c r="L57" i="42"/>
  <c r="Q61" i="42"/>
  <c r="U95" i="42"/>
  <c r="K95" i="42"/>
  <c r="C65" i="44"/>
  <c r="C61" i="44"/>
  <c r="C54" i="44"/>
  <c r="C50" i="44"/>
  <c r="C52" i="44" s="1"/>
  <c r="C55" i="44"/>
  <c r="C49" i="44"/>
  <c r="C51" i="44" s="1"/>
  <c r="C60" i="44"/>
  <c r="C64" i="44"/>
  <c r="I65" i="42"/>
  <c r="J64" i="42"/>
  <c r="L64" i="42"/>
  <c r="Q55" i="42"/>
  <c r="E64" i="42"/>
  <c r="E54" i="42"/>
  <c r="E61" i="42"/>
  <c r="E50" i="42"/>
  <c r="E52" i="42" s="1"/>
  <c r="E62" i="42"/>
  <c r="E60" i="42"/>
  <c r="H97" i="42"/>
  <c r="H18" i="42" s="1"/>
  <c r="B95" i="42"/>
  <c r="M95" i="42"/>
  <c r="I57" i="42"/>
  <c r="M60" i="42"/>
  <c r="D156" i="42"/>
  <c r="B157" i="42"/>
  <c r="W50" i="42"/>
  <c r="W52" i="42" s="1"/>
  <c r="W54" i="42"/>
  <c r="W62" i="42"/>
  <c r="W64" i="42"/>
  <c r="W63" i="42"/>
  <c r="W60" i="42"/>
  <c r="W55" i="42"/>
  <c r="W61" i="42"/>
  <c r="W56" i="42"/>
  <c r="W49" i="42"/>
  <c r="W51" i="42" s="1"/>
  <c r="W58" i="42"/>
  <c r="J63" i="44"/>
  <c r="J62" i="44"/>
  <c r="J64" i="44"/>
  <c r="N58" i="42"/>
  <c r="W66" i="44"/>
  <c r="AC21" i="44"/>
  <c r="T21" i="44"/>
  <c r="G21" i="44"/>
  <c r="L65" i="42"/>
  <c r="I54" i="42"/>
  <c r="J59" i="42"/>
  <c r="L60" i="42"/>
  <c r="N54" i="42"/>
  <c r="P97" i="42"/>
  <c r="Q58" i="42"/>
  <c r="S95" i="42"/>
  <c r="X95" i="42"/>
  <c r="M97" i="42"/>
  <c r="M18" i="42" s="1"/>
  <c r="H94" i="42"/>
  <c r="E94" i="42"/>
  <c r="Y98" i="42"/>
  <c r="I98" i="42"/>
  <c r="Y94" i="42"/>
  <c r="G98" i="42"/>
  <c r="P94" i="42"/>
  <c r="S98" i="42"/>
  <c r="V94" i="42"/>
  <c r="B65" i="44"/>
  <c r="B63" i="44"/>
  <c r="B64" i="44"/>
  <c r="B66" i="44" s="1"/>
  <c r="B55" i="44"/>
  <c r="S65" i="44"/>
  <c r="S54" i="44"/>
  <c r="S63" i="44"/>
  <c r="S64" i="44"/>
  <c r="S61" i="44"/>
  <c r="S50" i="44"/>
  <c r="S52" i="44" s="1"/>
  <c r="S58" i="44"/>
  <c r="S49" i="44"/>
  <c r="S51" i="44" s="1"/>
  <c r="S56" i="44"/>
  <c r="L50" i="50"/>
  <c r="L52" i="50" s="1"/>
  <c r="L62" i="50"/>
  <c r="L65" i="50"/>
  <c r="L63" i="50"/>
  <c r="L58" i="50"/>
  <c r="L59" i="50"/>
  <c r="L61" i="50"/>
  <c r="L56" i="50"/>
  <c r="L60" i="50"/>
  <c r="L57" i="50"/>
  <c r="L55" i="50"/>
  <c r="U98" i="42"/>
  <c r="E98" i="42"/>
  <c r="U62" i="42"/>
  <c r="U65" i="42"/>
  <c r="U63" i="42"/>
  <c r="U64" i="42"/>
  <c r="U58" i="42"/>
  <c r="U61" i="42"/>
  <c r="U56" i="42"/>
  <c r="U60" i="42"/>
  <c r="U57" i="42"/>
  <c r="U50" i="42"/>
  <c r="U52" i="42" s="1"/>
  <c r="X58" i="44"/>
  <c r="C94" i="44"/>
  <c r="W94" i="44"/>
  <c r="I94" i="48"/>
  <c r="D64" i="50"/>
  <c r="D60" i="50"/>
  <c r="D62" i="50"/>
  <c r="D54" i="50"/>
  <c r="D61" i="50"/>
  <c r="D55" i="50"/>
  <c r="D50" i="50"/>
  <c r="D52" i="50" s="1"/>
  <c r="D63" i="50"/>
  <c r="D49" i="50"/>
  <c r="D51" i="50" s="1"/>
  <c r="W98" i="42"/>
  <c r="E55" i="44"/>
  <c r="E61" i="44"/>
  <c r="L60" i="44"/>
  <c r="L56" i="44"/>
  <c r="G57" i="50"/>
  <c r="G65" i="50"/>
  <c r="G63" i="50"/>
  <c r="X65" i="44"/>
  <c r="X49" i="44"/>
  <c r="X51" i="44" s="1"/>
  <c r="X63" i="44"/>
  <c r="X57" i="44"/>
  <c r="X54" i="44"/>
  <c r="X55" i="44"/>
  <c r="X60" i="44"/>
  <c r="R54" i="42"/>
  <c r="R56" i="42"/>
  <c r="R55" i="42"/>
  <c r="R50" i="42"/>
  <c r="R52" i="42" s="1"/>
  <c r="F65" i="42"/>
  <c r="F62" i="42"/>
  <c r="F60" i="42"/>
  <c r="F63" i="42"/>
  <c r="F61" i="42"/>
  <c r="F57" i="42"/>
  <c r="F49" i="42"/>
  <c r="F51" i="42" s="1"/>
  <c r="F55" i="42"/>
  <c r="F50" i="42"/>
  <c r="F52" i="42" s="1"/>
  <c r="H98" i="42"/>
  <c r="T98" i="48"/>
  <c r="O98" i="48"/>
  <c r="F98" i="48"/>
  <c r="Y98" i="48"/>
  <c r="P98" i="48"/>
  <c r="Z94" i="48"/>
  <c r="B98" i="48"/>
  <c r="U98" i="48"/>
  <c r="L98" i="48"/>
  <c r="V94" i="48"/>
  <c r="Q94" i="48"/>
  <c r="M98" i="48"/>
  <c r="S94" i="48"/>
  <c r="B94" i="48"/>
  <c r="X94" i="48"/>
  <c r="G94" i="48"/>
  <c r="Z98" i="48"/>
  <c r="P60" i="42"/>
  <c r="P61" i="42"/>
  <c r="P59" i="42"/>
  <c r="P55" i="42"/>
  <c r="P56" i="42"/>
  <c r="P58" i="42"/>
  <c r="G54" i="44"/>
  <c r="G64" i="44"/>
  <c r="G50" i="44"/>
  <c r="G52" i="44" s="1"/>
  <c r="R59" i="44"/>
  <c r="U54" i="44"/>
  <c r="C63" i="50"/>
  <c r="C64" i="50"/>
  <c r="C60" i="50"/>
  <c r="C62" i="50"/>
  <c r="C54" i="50"/>
  <c r="C61" i="50"/>
  <c r="C49" i="50"/>
  <c r="C51" i="50" s="1"/>
  <c r="C55" i="50"/>
  <c r="M57" i="50"/>
  <c r="M50" i="50"/>
  <c r="M52" i="50" s="1"/>
  <c r="M61" i="50"/>
  <c r="M58" i="50"/>
  <c r="R60" i="50"/>
  <c r="R63" i="50"/>
  <c r="R64" i="50"/>
  <c r="U56" i="50"/>
  <c r="U55" i="50"/>
  <c r="U54" i="50"/>
  <c r="F63" i="48"/>
  <c r="F67" i="48" s="1"/>
  <c r="R54" i="50"/>
  <c r="R62" i="50"/>
  <c r="R59" i="50"/>
  <c r="R49" i="50"/>
  <c r="R51" i="50" s="1"/>
  <c r="R65" i="50"/>
  <c r="R57" i="50"/>
  <c r="G50" i="51"/>
  <c r="G52" i="51" s="1"/>
  <c r="G60" i="51"/>
  <c r="G64" i="51"/>
  <c r="C58" i="51"/>
  <c r="C54" i="51"/>
  <c r="S94" i="50"/>
  <c r="O98" i="50"/>
  <c r="B101" i="50"/>
  <c r="Z94" i="50"/>
  <c r="W94" i="50"/>
  <c r="R94" i="50"/>
  <c r="Z98" i="50"/>
  <c r="J94" i="50"/>
  <c r="B60" i="50"/>
  <c r="F59" i="50"/>
  <c r="S63" i="50"/>
  <c r="S56" i="50"/>
  <c r="K64" i="51"/>
  <c r="K66" i="51" s="1"/>
  <c r="K63" i="51"/>
  <c r="K67" i="51" s="1"/>
  <c r="H50" i="51"/>
  <c r="H52" i="51" s="1"/>
  <c r="B56" i="51"/>
  <c r="L49" i="51"/>
  <c r="L51" i="51" s="1"/>
  <c r="B152" i="51"/>
  <c r="B145" i="49"/>
  <c r="B55" i="50"/>
  <c r="B61" i="50"/>
  <c r="F64" i="50"/>
  <c r="F50" i="50"/>
  <c r="F52" i="50" s="1"/>
  <c r="S59" i="50"/>
  <c r="L65" i="51"/>
  <c r="I49" i="51"/>
  <c r="I51" i="51" s="1"/>
  <c r="S61" i="50"/>
  <c r="S55" i="50"/>
  <c r="L60" i="51"/>
  <c r="B148" i="49"/>
  <c r="K50" i="51"/>
  <c r="K52" i="51" s="1"/>
  <c r="P67" i="50" l="1"/>
  <c r="B66" i="42"/>
  <c r="D158" i="42"/>
  <c r="T28" i="50"/>
  <c r="G66" i="48"/>
  <c r="AH47" i="50"/>
  <c r="AH48" i="50" s="1"/>
  <c r="E52" i="50"/>
  <c r="F155" i="50" s="1"/>
  <c r="E155" i="50" s="1"/>
  <c r="F153" i="50"/>
  <c r="E153" i="50" s="1"/>
  <c r="AH49" i="44"/>
  <c r="AH50" i="44" s="1"/>
  <c r="T25" i="50"/>
  <c r="T27" i="50" s="1"/>
  <c r="AA67" i="44"/>
  <c r="H66" i="50"/>
  <c r="L67" i="44"/>
  <c r="G67" i="48"/>
  <c r="D67" i="48"/>
  <c r="J23" i="51"/>
  <c r="E25" i="50"/>
  <c r="E27" i="50" s="1"/>
  <c r="AH41" i="50"/>
  <c r="AH42" i="50" s="1"/>
  <c r="C66" i="48"/>
  <c r="AB67" i="44"/>
  <c r="AH39" i="42"/>
  <c r="AH40" i="42" s="1"/>
  <c r="AH41" i="42"/>
  <c r="AH42" i="42" s="1"/>
  <c r="AH47" i="42"/>
  <c r="AH48" i="42" s="1"/>
  <c r="F28" i="50"/>
  <c r="E67" i="50"/>
  <c r="N25" i="50"/>
  <c r="N27" i="50" s="1"/>
  <c r="H67" i="50"/>
  <c r="L25" i="50"/>
  <c r="M27" i="50"/>
  <c r="G27" i="50"/>
  <c r="V67" i="50"/>
  <c r="M28" i="50"/>
  <c r="V25" i="50"/>
  <c r="V27" i="50" s="1"/>
  <c r="B21" i="51"/>
  <c r="H23" i="51"/>
  <c r="I21" i="51"/>
  <c r="N21" i="51"/>
  <c r="E21" i="51"/>
  <c r="C21" i="51"/>
  <c r="G21" i="51"/>
  <c r="J21" i="51"/>
  <c r="H21" i="51"/>
  <c r="F21" i="51"/>
  <c r="D21" i="51"/>
  <c r="D22" i="51" s="1"/>
  <c r="AH34" i="49"/>
  <c r="AA67" i="49"/>
  <c r="N66" i="49"/>
  <c r="N67" i="49"/>
  <c r="AH41" i="44"/>
  <c r="AH42" i="44" s="1"/>
  <c r="H25" i="44"/>
  <c r="D25" i="44"/>
  <c r="AA66" i="44"/>
  <c r="AH47" i="44"/>
  <c r="AH48" i="44" s="1"/>
  <c r="AI32" i="49"/>
  <c r="P25" i="44"/>
  <c r="P27" i="44" s="1"/>
  <c r="AI34" i="57"/>
  <c r="G67" i="42"/>
  <c r="S67" i="42"/>
  <c r="V66" i="42"/>
  <c r="K67" i="42"/>
  <c r="T66" i="42"/>
  <c r="L66" i="42"/>
  <c r="D166" i="42"/>
  <c r="AH43" i="50"/>
  <c r="AH44" i="50" s="1"/>
  <c r="Z25" i="50"/>
  <c r="Z27" i="50" s="1"/>
  <c r="P66" i="50"/>
  <c r="D25" i="50"/>
  <c r="K25" i="50"/>
  <c r="K26" i="50"/>
  <c r="D26" i="50"/>
  <c r="K67" i="50"/>
  <c r="S25" i="50"/>
  <c r="S27" i="50" s="1"/>
  <c r="B66" i="50"/>
  <c r="L28" i="50"/>
  <c r="F66" i="50"/>
  <c r="U67" i="50"/>
  <c r="K28" i="50"/>
  <c r="W67" i="50"/>
  <c r="AH45" i="50"/>
  <c r="AH46" i="50" s="1"/>
  <c r="J25" i="50"/>
  <c r="J27" i="50" s="1"/>
  <c r="M66" i="50"/>
  <c r="C25" i="50"/>
  <c r="C27" i="50" s="1"/>
  <c r="AH49" i="50"/>
  <c r="AH50" i="50" s="1"/>
  <c r="E28" i="50"/>
  <c r="E66" i="48"/>
  <c r="T67" i="48"/>
  <c r="W66" i="48"/>
  <c r="E67" i="48"/>
  <c r="B21" i="48"/>
  <c r="F152" i="48"/>
  <c r="E152" i="48" s="1"/>
  <c r="E51" i="48"/>
  <c r="F154" i="48" s="1"/>
  <c r="E154" i="48" s="1"/>
  <c r="O21" i="48"/>
  <c r="O22" i="48" s="1"/>
  <c r="O26" i="48" s="1"/>
  <c r="F21" i="48"/>
  <c r="F22" i="48" s="1"/>
  <c r="P21" i="48"/>
  <c r="P22" i="48" s="1"/>
  <c r="P28" i="48" s="1"/>
  <c r="X21" i="48"/>
  <c r="X22" i="48" s="1"/>
  <c r="X26" i="48" s="1"/>
  <c r="U21" i="48"/>
  <c r="U22" i="48" s="1"/>
  <c r="V21" i="48"/>
  <c r="J21" i="48"/>
  <c r="J22" i="48" s="1"/>
  <c r="J26" i="48" s="1"/>
  <c r="M21" i="48"/>
  <c r="D21" i="48"/>
  <c r="D22" i="48" s="1"/>
  <c r="L21" i="48"/>
  <c r="L22" i="48" s="1"/>
  <c r="L26" i="48" s="1"/>
  <c r="K21" i="48"/>
  <c r="K22" i="48" s="1"/>
  <c r="Z21" i="48"/>
  <c r="Z22" i="48" s="1"/>
  <c r="Z26" i="48" s="1"/>
  <c r="Y21" i="48"/>
  <c r="H21" i="48"/>
  <c r="H22" i="48" s="1"/>
  <c r="G21" i="48"/>
  <c r="G22" i="48" s="1"/>
  <c r="W21" i="48"/>
  <c r="W22" i="48" s="1"/>
  <c r="W28" i="48" s="1"/>
  <c r="S21" i="48"/>
  <c r="S22" i="48" s="1"/>
  <c r="C21" i="48"/>
  <c r="C22" i="48" s="1"/>
  <c r="W67" i="48"/>
  <c r="T21" i="48"/>
  <c r="T22" i="48" s="1"/>
  <c r="Q21" i="48"/>
  <c r="Q22" i="48" s="1"/>
  <c r="E21" i="48"/>
  <c r="E22" i="48" s="1"/>
  <c r="N21" i="48"/>
  <c r="N22" i="48" s="1"/>
  <c r="N26" i="48" s="1"/>
  <c r="F66" i="51"/>
  <c r="B162" i="51"/>
  <c r="AH45" i="51"/>
  <c r="AH46" i="51" s="1"/>
  <c r="F67" i="51"/>
  <c r="AH29" i="51"/>
  <c r="AH30" i="51" s="1"/>
  <c r="I24" i="51"/>
  <c r="G24" i="51"/>
  <c r="H24" i="51"/>
  <c r="Z67" i="44"/>
  <c r="Z66" i="44"/>
  <c r="Y25" i="44"/>
  <c r="Y27" i="44" s="1"/>
  <c r="H67" i="44"/>
  <c r="AH43" i="44"/>
  <c r="AH44" i="44" s="1"/>
  <c r="O30" i="44"/>
  <c r="AH45" i="44"/>
  <c r="AH46" i="44" s="1"/>
  <c r="K51" i="44"/>
  <c r="AH31" i="44" s="1"/>
  <c r="AH32" i="44" s="1"/>
  <c r="AH29" i="44"/>
  <c r="AH23" i="44"/>
  <c r="AI30" i="44" s="1"/>
  <c r="AH52" i="49"/>
  <c r="AI50" i="49" s="1"/>
  <c r="L67" i="51"/>
  <c r="M67" i="51"/>
  <c r="G67" i="51"/>
  <c r="U66" i="48"/>
  <c r="AH45" i="48"/>
  <c r="AH46" i="48" s="1"/>
  <c r="B23" i="48"/>
  <c r="B25" i="48" s="1"/>
  <c r="AH49" i="48"/>
  <c r="AH50" i="48" s="1"/>
  <c r="T66" i="48"/>
  <c r="AH47" i="48"/>
  <c r="AH48" i="48" s="1"/>
  <c r="Q66" i="50"/>
  <c r="B28" i="50"/>
  <c r="B25" i="50"/>
  <c r="B27" i="50" s="1"/>
  <c r="O67" i="50"/>
  <c r="AH39" i="50"/>
  <c r="AH40" i="50" s="1"/>
  <c r="H28" i="50"/>
  <c r="J28" i="50"/>
  <c r="I28" i="50"/>
  <c r="Q25" i="50"/>
  <c r="Q27" i="50" s="1"/>
  <c r="C28" i="50"/>
  <c r="O66" i="50"/>
  <c r="K66" i="50"/>
  <c r="S66" i="50"/>
  <c r="Q28" i="50"/>
  <c r="O28" i="50"/>
  <c r="R28" i="50"/>
  <c r="H25" i="50"/>
  <c r="H27" i="50" s="1"/>
  <c r="X22" i="50"/>
  <c r="X26" i="50" s="1"/>
  <c r="X25" i="50"/>
  <c r="O25" i="50"/>
  <c r="O27" i="50" s="1"/>
  <c r="W25" i="50"/>
  <c r="W27" i="50" s="1"/>
  <c r="O66" i="42"/>
  <c r="E67" i="42"/>
  <c r="T67" i="42"/>
  <c r="C153" i="42"/>
  <c r="D153" i="42" s="1"/>
  <c r="T52" i="42"/>
  <c r="C155" i="42" s="1"/>
  <c r="D155" i="42" s="1"/>
  <c r="S66" i="42"/>
  <c r="L67" i="42"/>
  <c r="D152" i="42"/>
  <c r="B153" i="42"/>
  <c r="D164" i="42"/>
  <c r="B165" i="42"/>
  <c r="AI50" i="57"/>
  <c r="AI42" i="57"/>
  <c r="AI44" i="57"/>
  <c r="AI48" i="57"/>
  <c r="AI46" i="57"/>
  <c r="AI40" i="57"/>
  <c r="Y27" i="50"/>
  <c r="J25" i="42"/>
  <c r="B67" i="42"/>
  <c r="J66" i="42"/>
  <c r="O67" i="42"/>
  <c r="AH29" i="42"/>
  <c r="B52" i="42"/>
  <c r="AH31" i="42" s="1"/>
  <c r="AH32" i="42" s="1"/>
  <c r="AH23" i="42"/>
  <c r="G66" i="42"/>
  <c r="K27" i="50"/>
  <c r="B159" i="50"/>
  <c r="D158" i="50"/>
  <c r="D27" i="50"/>
  <c r="Q52" i="50"/>
  <c r="C155" i="50" s="1"/>
  <c r="D155" i="50" s="1"/>
  <c r="C153" i="50"/>
  <c r="D153" i="50" s="1"/>
  <c r="U28" i="50"/>
  <c r="F67" i="50"/>
  <c r="Y52" i="50"/>
  <c r="AH31" i="50" s="1"/>
  <c r="AH32" i="50" s="1"/>
  <c r="AH23" i="50"/>
  <c r="AH29" i="50"/>
  <c r="Q67" i="50"/>
  <c r="C157" i="50"/>
  <c r="D157" i="50" s="1"/>
  <c r="M67" i="50"/>
  <c r="Y67" i="50"/>
  <c r="I27" i="50"/>
  <c r="N28" i="50"/>
  <c r="L26" i="50"/>
  <c r="L27" i="50" s="1"/>
  <c r="Y66" i="50"/>
  <c r="Q51" i="50"/>
  <c r="B154" i="50" s="1"/>
  <c r="B152" i="50"/>
  <c r="S28" i="50"/>
  <c r="T66" i="50"/>
  <c r="B157" i="50"/>
  <c r="D156" i="50"/>
  <c r="B163" i="50"/>
  <c r="D162" i="50"/>
  <c r="F27" i="50"/>
  <c r="G66" i="51"/>
  <c r="D166" i="51"/>
  <c r="B167" i="51"/>
  <c r="AH41" i="51"/>
  <c r="C159" i="51"/>
  <c r="D159" i="51" s="1"/>
  <c r="C165" i="51"/>
  <c r="D165" i="51" s="1"/>
  <c r="AH47" i="51"/>
  <c r="AH48" i="51" s="1"/>
  <c r="D154" i="51"/>
  <c r="B155" i="51"/>
  <c r="L66" i="51"/>
  <c r="AH49" i="51"/>
  <c r="AH50" i="51" s="1"/>
  <c r="C167" i="51"/>
  <c r="D167" i="51" s="1"/>
  <c r="D25" i="49"/>
  <c r="D27" i="49" s="1"/>
  <c r="AI30" i="49"/>
  <c r="N27" i="49"/>
  <c r="Y25" i="49"/>
  <c r="X67" i="49"/>
  <c r="AB66" i="49"/>
  <c r="M66" i="49"/>
  <c r="M67" i="49"/>
  <c r="X66" i="49"/>
  <c r="Z66" i="49"/>
  <c r="U67" i="49"/>
  <c r="E66" i="49"/>
  <c r="Z67" i="49"/>
  <c r="Z25" i="49"/>
  <c r="AB67" i="49"/>
  <c r="I66" i="44"/>
  <c r="U67" i="44"/>
  <c r="H66" i="44"/>
  <c r="L66" i="44"/>
  <c r="J67" i="44"/>
  <c r="D158" i="44"/>
  <c r="V66" i="44"/>
  <c r="N67" i="44"/>
  <c r="D67" i="44"/>
  <c r="T66" i="44"/>
  <c r="R66" i="44"/>
  <c r="D162" i="44"/>
  <c r="F66" i="44"/>
  <c r="R25" i="44"/>
  <c r="R27" i="44" s="1"/>
  <c r="B167" i="44"/>
  <c r="I67" i="44"/>
  <c r="Z25" i="44"/>
  <c r="Z27" i="44" s="1"/>
  <c r="S25" i="44"/>
  <c r="S27" i="44" s="1"/>
  <c r="B165" i="44"/>
  <c r="D164" i="44"/>
  <c r="B30" i="44"/>
  <c r="G30" i="44"/>
  <c r="D156" i="44"/>
  <c r="B157" i="44"/>
  <c r="P66" i="44"/>
  <c r="F157" i="44"/>
  <c r="E157" i="44" s="1"/>
  <c r="F67" i="44"/>
  <c r="D160" i="44"/>
  <c r="B161" i="44"/>
  <c r="C67" i="44"/>
  <c r="C153" i="44"/>
  <c r="D153" i="44" s="1"/>
  <c r="R52" i="44"/>
  <c r="C155" i="44" s="1"/>
  <c r="D155" i="44" s="1"/>
  <c r="J66" i="44"/>
  <c r="G66" i="44"/>
  <c r="AC30" i="44"/>
  <c r="U66" i="44"/>
  <c r="U25" i="44"/>
  <c r="U27" i="44" s="1"/>
  <c r="Q25" i="44"/>
  <c r="Q27" i="44" s="1"/>
  <c r="N66" i="44"/>
  <c r="R28" i="44"/>
  <c r="K95" i="44"/>
  <c r="C97" i="44"/>
  <c r="C18" i="44" s="1"/>
  <c r="J95" i="44"/>
  <c r="N95" i="44"/>
  <c r="Q95" i="44"/>
  <c r="O97" i="44"/>
  <c r="D97" i="44"/>
  <c r="D18" i="44" s="1"/>
  <c r="T95" i="44"/>
  <c r="E97" i="44"/>
  <c r="E18" i="44" s="1"/>
  <c r="H97" i="44"/>
  <c r="H18" i="44" s="1"/>
  <c r="B97" i="44"/>
  <c r="B18" i="44" s="1"/>
  <c r="P95" i="44"/>
  <c r="AC95" i="44"/>
  <c r="C95" i="44"/>
  <c r="G95" i="44"/>
  <c r="AB95" i="44"/>
  <c r="B95" i="44"/>
  <c r="R95" i="44"/>
  <c r="O95" i="44"/>
  <c r="M97" i="44"/>
  <c r="L97" i="44"/>
  <c r="N97" i="44"/>
  <c r="AA95" i="44"/>
  <c r="I95" i="44"/>
  <c r="Y95" i="44"/>
  <c r="D95" i="44"/>
  <c r="M95" i="44"/>
  <c r="E95" i="44"/>
  <c r="K97" i="44"/>
  <c r="K18" i="44" s="1"/>
  <c r="AB97" i="44"/>
  <c r="V95" i="44"/>
  <c r="Q97" i="44"/>
  <c r="Z95" i="44"/>
  <c r="J97" i="44"/>
  <c r="J18" i="44" s="1"/>
  <c r="X95" i="44"/>
  <c r="Z97" i="44"/>
  <c r="X97" i="44"/>
  <c r="G97" i="44"/>
  <c r="G18" i="44" s="1"/>
  <c r="S95" i="44"/>
  <c r="I97" i="44"/>
  <c r="I18" i="44" s="1"/>
  <c r="Y97" i="44"/>
  <c r="W95" i="44"/>
  <c r="AC97" i="44"/>
  <c r="AC18" i="44" s="1"/>
  <c r="P97" i="44"/>
  <c r="H95" i="44"/>
  <c r="U95" i="44"/>
  <c r="F95" i="44"/>
  <c r="F97" i="44"/>
  <c r="F18" i="44" s="1"/>
  <c r="L95" i="44"/>
  <c r="AA97" i="44"/>
  <c r="F25" i="44"/>
  <c r="F27" i="44" s="1"/>
  <c r="N25" i="44"/>
  <c r="C25" i="44"/>
  <c r="T67" i="44"/>
  <c r="D27" i="44"/>
  <c r="S23" i="48"/>
  <c r="R23" i="48"/>
  <c r="E23" i="48"/>
  <c r="N23" i="48"/>
  <c r="H23" i="48"/>
  <c r="M23" i="48"/>
  <c r="I23" i="48"/>
  <c r="W23" i="48"/>
  <c r="U23" i="48"/>
  <c r="Q23" i="48"/>
  <c r="U24" i="48"/>
  <c r="V24" i="48"/>
  <c r="S24" i="48"/>
  <c r="Q24" i="48"/>
  <c r="T24" i="48"/>
  <c r="R24" i="48"/>
  <c r="G23" i="48"/>
  <c r="X23" i="48"/>
  <c r="J23" i="48"/>
  <c r="L23" i="48"/>
  <c r="Z23" i="48"/>
  <c r="V23" i="48"/>
  <c r="K23" i="48"/>
  <c r="K25" i="48" s="1"/>
  <c r="O23" i="48"/>
  <c r="O25" i="48" s="1"/>
  <c r="O27" i="48" s="1"/>
  <c r="C23" i="48"/>
  <c r="C25" i="48" s="1"/>
  <c r="Y23" i="48"/>
  <c r="F23" i="48"/>
  <c r="H67" i="48"/>
  <c r="I21" i="48"/>
  <c r="S66" i="48"/>
  <c r="D23" i="48"/>
  <c r="P23" i="48"/>
  <c r="Y66" i="48"/>
  <c r="M67" i="48"/>
  <c r="X67" i="48"/>
  <c r="S67" i="48"/>
  <c r="E25" i="42"/>
  <c r="E22" i="42"/>
  <c r="M66" i="42"/>
  <c r="D52" i="42"/>
  <c r="F155" i="42" s="1"/>
  <c r="E155" i="42" s="1"/>
  <c r="F153" i="42"/>
  <c r="E153" i="42" s="1"/>
  <c r="W25" i="42"/>
  <c r="W27" i="42" s="1"/>
  <c r="W22" i="42"/>
  <c r="O25" i="42"/>
  <c r="O27" i="42" s="1"/>
  <c r="O22" i="42"/>
  <c r="Y25" i="42"/>
  <c r="Y22" i="42"/>
  <c r="Y26" i="42" s="1"/>
  <c r="V22" i="42"/>
  <c r="V25" i="42"/>
  <c r="V27" i="42" s="1"/>
  <c r="R67" i="42"/>
  <c r="R22" i="42"/>
  <c r="R25" i="42"/>
  <c r="D22" i="42"/>
  <c r="D25" i="42"/>
  <c r="P25" i="42"/>
  <c r="P22" i="42"/>
  <c r="X22" i="42"/>
  <c r="X25" i="42"/>
  <c r="N22" i="42"/>
  <c r="N25" i="42"/>
  <c r="L22" i="42"/>
  <c r="L25" i="42"/>
  <c r="L27" i="42" s="1"/>
  <c r="I66" i="42"/>
  <c r="H22" i="42"/>
  <c r="H26" i="42" s="1"/>
  <c r="H25" i="42"/>
  <c r="I22" i="42"/>
  <c r="I25" i="42"/>
  <c r="I27" i="42" s="1"/>
  <c r="M22" i="42"/>
  <c r="M25" i="42"/>
  <c r="D51" i="42"/>
  <c r="F154" i="42" s="1"/>
  <c r="E154" i="42" s="1"/>
  <c r="F152" i="42"/>
  <c r="E152" i="42" s="1"/>
  <c r="S25" i="42"/>
  <c r="S27" i="42" s="1"/>
  <c r="S22" i="42"/>
  <c r="T22" i="42"/>
  <c r="T25" i="42"/>
  <c r="T27" i="42" s="1"/>
  <c r="C25" i="42"/>
  <c r="C22" i="42"/>
  <c r="F66" i="42"/>
  <c r="D66" i="42"/>
  <c r="F156" i="42"/>
  <c r="E156" i="42" s="1"/>
  <c r="Q22" i="42"/>
  <c r="Q26" i="42" s="1"/>
  <c r="Q25" i="42"/>
  <c r="K22" i="42"/>
  <c r="K25" i="42"/>
  <c r="B25" i="42"/>
  <c r="B22" i="42"/>
  <c r="D67" i="42"/>
  <c r="G22" i="42"/>
  <c r="G25" i="42"/>
  <c r="F25" i="42"/>
  <c r="F27" i="42" s="1"/>
  <c r="F22" i="42"/>
  <c r="U25" i="42"/>
  <c r="U27" i="42" s="1"/>
  <c r="U22" i="42"/>
  <c r="N66" i="50"/>
  <c r="B67" i="50"/>
  <c r="N67" i="50"/>
  <c r="P26" i="50"/>
  <c r="P27" i="50" s="1"/>
  <c r="P28" i="50"/>
  <c r="T67" i="50"/>
  <c r="U66" i="50"/>
  <c r="G67" i="50"/>
  <c r="L66" i="50"/>
  <c r="V22" i="48"/>
  <c r="U67" i="48"/>
  <c r="M22" i="48"/>
  <c r="I22" i="48"/>
  <c r="Y67" i="48"/>
  <c r="R22" i="48"/>
  <c r="B22" i="48"/>
  <c r="K67" i="48"/>
  <c r="Y22" i="48"/>
  <c r="Y26" i="48" s="1"/>
  <c r="M66" i="48"/>
  <c r="H66" i="48"/>
  <c r="K66" i="48"/>
  <c r="X66" i="48"/>
  <c r="U66" i="49"/>
  <c r="I25" i="49"/>
  <c r="I22" i="49"/>
  <c r="R25" i="49"/>
  <c r="R27" i="49" s="1"/>
  <c r="R22" i="49"/>
  <c r="U25" i="49"/>
  <c r="U27" i="49" s="1"/>
  <c r="U22" i="49"/>
  <c r="L22" i="49"/>
  <c r="L25" i="49"/>
  <c r="L27" i="49" s="1"/>
  <c r="Y22" i="49"/>
  <c r="Y26" i="49" s="1"/>
  <c r="Y27" i="49" s="1"/>
  <c r="E25" i="49"/>
  <c r="E27" i="49" s="1"/>
  <c r="E22" i="49"/>
  <c r="W25" i="49"/>
  <c r="W27" i="49" s="1"/>
  <c r="W22" i="49"/>
  <c r="P25" i="49"/>
  <c r="P27" i="49" s="1"/>
  <c r="P22" i="49"/>
  <c r="AA25" i="49"/>
  <c r="AA22" i="49"/>
  <c r="S25" i="49"/>
  <c r="S27" i="49" s="1"/>
  <c r="S22" i="49"/>
  <c r="J22" i="49"/>
  <c r="J25" i="49"/>
  <c r="J27" i="49" s="1"/>
  <c r="V25" i="49"/>
  <c r="V27" i="49" s="1"/>
  <c r="V22" i="49"/>
  <c r="E67" i="49"/>
  <c r="O22" i="49"/>
  <c r="O25" i="49"/>
  <c r="B25" i="49"/>
  <c r="B22" i="49"/>
  <c r="T25" i="49"/>
  <c r="T27" i="49" s="1"/>
  <c r="T22" i="49"/>
  <c r="G22" i="49"/>
  <c r="G25" i="49"/>
  <c r="X25" i="49"/>
  <c r="X27" i="49" s="1"/>
  <c r="X22" i="49"/>
  <c r="AB25" i="49"/>
  <c r="AB22" i="49"/>
  <c r="F22" i="49"/>
  <c r="F25" i="49"/>
  <c r="Q22" i="49"/>
  <c r="Q25" i="49"/>
  <c r="Q27" i="49" s="1"/>
  <c r="K22" i="49"/>
  <c r="K25" i="49"/>
  <c r="K27" i="49" s="1"/>
  <c r="C22" i="49"/>
  <c r="C25" i="49"/>
  <c r="H25" i="49"/>
  <c r="H22" i="49"/>
  <c r="AC25" i="49"/>
  <c r="AC22" i="49"/>
  <c r="AC26" i="49" s="1"/>
  <c r="M25" i="49"/>
  <c r="M27" i="49" s="1"/>
  <c r="Z26" i="49"/>
  <c r="K67" i="44"/>
  <c r="AH39" i="44"/>
  <c r="V25" i="44"/>
  <c r="V27" i="44" s="1"/>
  <c r="V22" i="44"/>
  <c r="L22" i="44"/>
  <c r="L25" i="44"/>
  <c r="L27" i="44" s="1"/>
  <c r="W22" i="44"/>
  <c r="W25" i="44"/>
  <c r="W27" i="44" s="1"/>
  <c r="M25" i="44"/>
  <c r="M27" i="44" s="1"/>
  <c r="M22" i="44"/>
  <c r="O28" i="44" s="1"/>
  <c r="I22" i="44"/>
  <c r="I25" i="44"/>
  <c r="O26" i="44"/>
  <c r="Q28" i="44"/>
  <c r="X25" i="44"/>
  <c r="X27" i="44" s="1"/>
  <c r="X22" i="44"/>
  <c r="Z28" i="44" s="1"/>
  <c r="E25" i="44"/>
  <c r="E27" i="44" s="1"/>
  <c r="E22" i="44"/>
  <c r="F28" i="44" s="1"/>
  <c r="S28" i="44"/>
  <c r="O25" i="44"/>
  <c r="K66" i="44"/>
  <c r="AA25" i="44"/>
  <c r="AA22" i="44"/>
  <c r="J25" i="44"/>
  <c r="J27" i="44" s="1"/>
  <c r="J22" i="44"/>
  <c r="B152" i="44"/>
  <c r="R51" i="44"/>
  <c r="B154" i="44" s="1"/>
  <c r="I30" i="44"/>
  <c r="N30" i="44"/>
  <c r="H30" i="44"/>
  <c r="AA30" i="44"/>
  <c r="AB30" i="44"/>
  <c r="D30" i="44"/>
  <c r="Z30" i="44"/>
  <c r="F30" i="44"/>
  <c r="C30" i="44"/>
  <c r="C26" i="44"/>
  <c r="H26" i="44"/>
  <c r="H27" i="44" s="1"/>
  <c r="B22" i="44"/>
  <c r="B25" i="44"/>
  <c r="S67" i="44"/>
  <c r="K25" i="44"/>
  <c r="K27" i="44" s="1"/>
  <c r="D66" i="44"/>
  <c r="AB25" i="44"/>
  <c r="AB22" i="44"/>
  <c r="P28" i="44"/>
  <c r="N26" i="44"/>
  <c r="M97" i="51"/>
  <c r="J97" i="51"/>
  <c r="M95" i="51"/>
  <c r="N97" i="51"/>
  <c r="N18" i="51" s="1"/>
  <c r="E95" i="51"/>
  <c r="K97" i="51"/>
  <c r="L97" i="51"/>
  <c r="H95" i="51"/>
  <c r="D97" i="51"/>
  <c r="G95" i="51"/>
  <c r="D95" i="51"/>
  <c r="I95" i="51"/>
  <c r="K95" i="51"/>
  <c r="C95" i="51"/>
  <c r="E97" i="51"/>
  <c r="F97" i="51"/>
  <c r="J95" i="51"/>
  <c r="N95" i="51"/>
  <c r="B95" i="51"/>
  <c r="F95" i="51"/>
  <c r="L95" i="51"/>
  <c r="F25" i="51"/>
  <c r="F22" i="51"/>
  <c r="E22" i="51"/>
  <c r="E25" i="51"/>
  <c r="B153" i="51"/>
  <c r="D152" i="51"/>
  <c r="R67" i="50"/>
  <c r="C67" i="50"/>
  <c r="C161" i="44"/>
  <c r="D161" i="44" s="1"/>
  <c r="R67" i="44"/>
  <c r="X67" i="44"/>
  <c r="D67" i="50"/>
  <c r="G25" i="44"/>
  <c r="G22" i="44"/>
  <c r="Q67" i="42"/>
  <c r="D25" i="51"/>
  <c r="J25" i="51"/>
  <c r="J22" i="51"/>
  <c r="F67" i="42"/>
  <c r="X66" i="44"/>
  <c r="U67" i="42"/>
  <c r="S66" i="44"/>
  <c r="B67" i="44"/>
  <c r="T22" i="44"/>
  <c r="T25" i="44"/>
  <c r="T27" i="44" s="1"/>
  <c r="W66" i="42"/>
  <c r="J67" i="42"/>
  <c r="J26" i="42"/>
  <c r="M25" i="51"/>
  <c r="M22" i="51"/>
  <c r="C22" i="51"/>
  <c r="C25" i="51"/>
  <c r="C27" i="51" s="1"/>
  <c r="N22" i="51"/>
  <c r="N26" i="51" s="1"/>
  <c r="N25" i="51"/>
  <c r="B158" i="51"/>
  <c r="B66" i="51"/>
  <c r="D66" i="50"/>
  <c r="N66" i="42"/>
  <c r="AC22" i="44"/>
  <c r="AC25" i="44"/>
  <c r="N67" i="42"/>
  <c r="L22" i="51"/>
  <c r="L25" i="51"/>
  <c r="G22" i="51"/>
  <c r="G25" i="51"/>
  <c r="G27" i="51" s="1"/>
  <c r="C66" i="50"/>
  <c r="U66" i="42"/>
  <c r="L67" i="50"/>
  <c r="C66" i="44"/>
  <c r="AH29" i="48"/>
  <c r="B52" i="48"/>
  <c r="AH31" i="48" s="1"/>
  <c r="AH32" i="48" s="1"/>
  <c r="AH23" i="48"/>
  <c r="M67" i="42"/>
  <c r="Q66" i="42"/>
  <c r="K25" i="51"/>
  <c r="K22" i="51"/>
  <c r="H22" i="51"/>
  <c r="H25" i="51"/>
  <c r="H27" i="51" s="1"/>
  <c r="P66" i="42"/>
  <c r="F95" i="50"/>
  <c r="Z95" i="50"/>
  <c r="M95" i="50"/>
  <c r="S97" i="50"/>
  <c r="B95" i="50"/>
  <c r="D95" i="50"/>
  <c r="H97" i="50"/>
  <c r="H18" i="50" s="1"/>
  <c r="R97" i="50"/>
  <c r="B97" i="50"/>
  <c r="B18" i="50" s="1"/>
  <c r="Y95" i="50"/>
  <c r="N95" i="50"/>
  <c r="S95" i="50"/>
  <c r="K95" i="50"/>
  <c r="L97" i="50"/>
  <c r="L18" i="50" s="1"/>
  <c r="L95" i="50"/>
  <c r="D97" i="50"/>
  <c r="D18" i="50" s="1"/>
  <c r="F97" i="50"/>
  <c r="F18" i="50" s="1"/>
  <c r="T95" i="50"/>
  <c r="H95" i="50"/>
  <c r="J95" i="50"/>
  <c r="I97" i="50"/>
  <c r="I18" i="50" s="1"/>
  <c r="G95" i="50"/>
  <c r="X95" i="50"/>
  <c r="V95" i="50"/>
  <c r="Q97" i="50"/>
  <c r="R95" i="50"/>
  <c r="J97" i="50"/>
  <c r="J18" i="50" s="1"/>
  <c r="C95" i="50"/>
  <c r="I95" i="50"/>
  <c r="O95" i="50"/>
  <c r="P97" i="50"/>
  <c r="W95" i="50"/>
  <c r="M97" i="50"/>
  <c r="N97" i="50"/>
  <c r="E95" i="50"/>
  <c r="Q95" i="50"/>
  <c r="E97" i="50"/>
  <c r="E18" i="50" s="1"/>
  <c r="U95" i="50"/>
  <c r="K97" i="50"/>
  <c r="K18" i="50" s="1"/>
  <c r="C97" i="50"/>
  <c r="C18" i="50" s="1"/>
  <c r="P95" i="50"/>
  <c r="O97" i="50"/>
  <c r="Z97" i="50"/>
  <c r="Z18" i="50" s="1"/>
  <c r="G97" i="50"/>
  <c r="G18" i="50" s="1"/>
  <c r="C66" i="51"/>
  <c r="P67" i="42"/>
  <c r="R66" i="42"/>
  <c r="W67" i="42"/>
  <c r="B66" i="48"/>
  <c r="B22" i="51"/>
  <c r="B25" i="51"/>
  <c r="B27" i="51" s="1"/>
  <c r="S67" i="50"/>
  <c r="R66" i="50"/>
  <c r="E67" i="44"/>
  <c r="E66" i="42"/>
  <c r="AH39" i="48"/>
  <c r="B67" i="48"/>
  <c r="I67" i="42"/>
  <c r="I25" i="51"/>
  <c r="I27" i="51" s="1"/>
  <c r="I22" i="51"/>
  <c r="L25" i="48" l="1"/>
  <c r="L27" i="48" s="1"/>
  <c r="J27" i="42"/>
  <c r="AI34" i="49"/>
  <c r="AH52" i="42"/>
  <c r="AI48" i="42" s="1"/>
  <c r="Z25" i="48"/>
  <c r="Z27" i="48" s="1"/>
  <c r="X28" i="42"/>
  <c r="I25" i="48"/>
  <c r="N27" i="44"/>
  <c r="AH34" i="51"/>
  <c r="AI42" i="49"/>
  <c r="AI40" i="49"/>
  <c r="AI32" i="44"/>
  <c r="AI34" i="44" s="1"/>
  <c r="AI44" i="42"/>
  <c r="AI50" i="42"/>
  <c r="X28" i="50"/>
  <c r="AH52" i="50"/>
  <c r="AI44" i="50" s="1"/>
  <c r="N25" i="48"/>
  <c r="N27" i="48" s="1"/>
  <c r="J25" i="48"/>
  <c r="J27" i="48" s="1"/>
  <c r="X25" i="48"/>
  <c r="X27" i="48" s="1"/>
  <c r="R25" i="48"/>
  <c r="R27" i="48" s="1"/>
  <c r="T25" i="48"/>
  <c r="T27" i="48" s="1"/>
  <c r="D25" i="48"/>
  <c r="P25" i="48"/>
  <c r="E25" i="48"/>
  <c r="F25" i="48"/>
  <c r="G25" i="48"/>
  <c r="Y25" i="48"/>
  <c r="Y27" i="48" s="1"/>
  <c r="W25" i="48"/>
  <c r="W27" i="48" s="1"/>
  <c r="M25" i="48"/>
  <c r="H25" i="48"/>
  <c r="B163" i="51"/>
  <c r="D162" i="51"/>
  <c r="C27" i="44"/>
  <c r="AI44" i="49"/>
  <c r="AI46" i="49"/>
  <c r="AI48" i="49"/>
  <c r="AH30" i="44"/>
  <c r="AH34" i="44"/>
  <c r="O27" i="44"/>
  <c r="E28" i="51"/>
  <c r="S25" i="48"/>
  <c r="S27" i="48" s="1"/>
  <c r="V25" i="48"/>
  <c r="V27" i="48" s="1"/>
  <c r="U25" i="48"/>
  <c r="U27" i="48" s="1"/>
  <c r="X27" i="50"/>
  <c r="Y28" i="50"/>
  <c r="AI46" i="42"/>
  <c r="AI40" i="42"/>
  <c r="AI42" i="42"/>
  <c r="K28" i="42"/>
  <c r="L28" i="42"/>
  <c r="AI52" i="57"/>
  <c r="Q27" i="42"/>
  <c r="AI30" i="42"/>
  <c r="AI32" i="42"/>
  <c r="AH30" i="42"/>
  <c r="AH34" i="42"/>
  <c r="AH30" i="50"/>
  <c r="AH34" i="50"/>
  <c r="AI32" i="50"/>
  <c r="AI30" i="50"/>
  <c r="D152" i="50"/>
  <c r="B153" i="50"/>
  <c r="B155" i="50"/>
  <c r="D154" i="50"/>
  <c r="Q25" i="48"/>
  <c r="Q27" i="48" s="1"/>
  <c r="D28" i="51"/>
  <c r="AH42" i="51"/>
  <c r="AH52" i="51"/>
  <c r="AA28" i="49"/>
  <c r="AC27" i="49"/>
  <c r="Z27" i="49"/>
  <c r="Z28" i="49"/>
  <c r="AB28" i="49"/>
  <c r="M28" i="49"/>
  <c r="V28" i="49"/>
  <c r="Y28" i="49"/>
  <c r="J28" i="44"/>
  <c r="L28" i="44"/>
  <c r="E28" i="44"/>
  <c r="B28" i="48"/>
  <c r="X28" i="48"/>
  <c r="M26" i="42"/>
  <c r="M27" i="42" s="1"/>
  <c r="O28" i="42"/>
  <c r="J28" i="42"/>
  <c r="H28" i="42"/>
  <c r="K26" i="42"/>
  <c r="K27" i="42" s="1"/>
  <c r="M28" i="42"/>
  <c r="Q28" i="42"/>
  <c r="P28" i="42"/>
  <c r="T28" i="42"/>
  <c r="N26" i="42"/>
  <c r="N27" i="42" s="1"/>
  <c r="S28" i="42"/>
  <c r="U28" i="42"/>
  <c r="R28" i="42"/>
  <c r="R26" i="42"/>
  <c r="R27" i="42" s="1"/>
  <c r="B28" i="42"/>
  <c r="Y28" i="42"/>
  <c r="H27" i="42"/>
  <c r="X26" i="42"/>
  <c r="X27" i="42" s="1"/>
  <c r="C28" i="42"/>
  <c r="P26" i="42"/>
  <c r="P27" i="42" s="1"/>
  <c r="W28" i="42"/>
  <c r="I28" i="42"/>
  <c r="G26" i="42"/>
  <c r="G27" i="42" s="1"/>
  <c r="B26" i="42"/>
  <c r="B27" i="42" s="1"/>
  <c r="D28" i="42"/>
  <c r="Y27" i="42"/>
  <c r="E26" i="42"/>
  <c r="E27" i="42" s="1"/>
  <c r="G28" i="42"/>
  <c r="E28" i="42"/>
  <c r="C26" i="42"/>
  <c r="C27" i="42" s="1"/>
  <c r="N28" i="42"/>
  <c r="D26" i="42"/>
  <c r="D27" i="42" s="1"/>
  <c r="F28" i="42"/>
  <c r="V28" i="42"/>
  <c r="I28" i="48"/>
  <c r="G26" i="48"/>
  <c r="S28" i="48"/>
  <c r="Q28" i="48"/>
  <c r="R28" i="48"/>
  <c r="G28" i="48"/>
  <c r="E26" i="48"/>
  <c r="M28" i="48"/>
  <c r="K26" i="48"/>
  <c r="K27" i="48" s="1"/>
  <c r="P26" i="48"/>
  <c r="Y28" i="48"/>
  <c r="T28" i="48"/>
  <c r="U28" i="48"/>
  <c r="V28" i="48"/>
  <c r="I26" i="48"/>
  <c r="I27" i="48" s="1"/>
  <c r="K28" i="48"/>
  <c r="C26" i="48"/>
  <c r="C27" i="48" s="1"/>
  <c r="E28" i="48"/>
  <c r="J28" i="48"/>
  <c r="H26" i="48"/>
  <c r="H27" i="48" s="1"/>
  <c r="M26" i="48"/>
  <c r="N28" i="48"/>
  <c r="O28" i="48"/>
  <c r="D26" i="48"/>
  <c r="F28" i="48"/>
  <c r="C28" i="48"/>
  <c r="L28" i="48"/>
  <c r="F26" i="48"/>
  <c r="F27" i="48" s="1"/>
  <c r="H28" i="48"/>
  <c r="B26" i="48"/>
  <c r="B27" i="48" s="1"/>
  <c r="D28" i="48"/>
  <c r="K28" i="51"/>
  <c r="N27" i="51"/>
  <c r="F26" i="49"/>
  <c r="F27" i="49" s="1"/>
  <c r="H28" i="49"/>
  <c r="W28" i="49"/>
  <c r="J28" i="49"/>
  <c r="H26" i="49"/>
  <c r="H27" i="49" s="1"/>
  <c r="N28" i="49"/>
  <c r="AB26" i="49"/>
  <c r="AB27" i="49" s="1"/>
  <c r="C28" i="49"/>
  <c r="D28" i="49"/>
  <c r="B26" i="49"/>
  <c r="B27" i="49" s="1"/>
  <c r="L28" i="49"/>
  <c r="C26" i="49"/>
  <c r="C27" i="49" s="1"/>
  <c r="E28" i="49"/>
  <c r="U28" i="49"/>
  <c r="G28" i="49"/>
  <c r="F28" i="49"/>
  <c r="T28" i="49"/>
  <c r="O26" i="49"/>
  <c r="O27" i="49" s="1"/>
  <c r="P28" i="49"/>
  <c r="Q28" i="49"/>
  <c r="AA26" i="49"/>
  <c r="AA27" i="49" s="1"/>
  <c r="B28" i="49"/>
  <c r="AC28" i="49"/>
  <c r="I26" i="49"/>
  <c r="I27" i="49" s="1"/>
  <c r="K28" i="49"/>
  <c r="O28" i="49"/>
  <c r="S28" i="49"/>
  <c r="G26" i="49"/>
  <c r="G27" i="49" s="1"/>
  <c r="I28" i="49"/>
  <c r="X28" i="49"/>
  <c r="R28" i="49"/>
  <c r="B26" i="44"/>
  <c r="B27" i="44" s="1"/>
  <c r="D28" i="44"/>
  <c r="D152" i="44"/>
  <c r="B153" i="44"/>
  <c r="M28" i="44"/>
  <c r="K28" i="44"/>
  <c r="I26" i="44"/>
  <c r="I27" i="44" s="1"/>
  <c r="N28" i="44"/>
  <c r="W28" i="44"/>
  <c r="X28" i="44"/>
  <c r="C28" i="44"/>
  <c r="AB26" i="44"/>
  <c r="AB27" i="44" s="1"/>
  <c r="AA26" i="44"/>
  <c r="AA27" i="44" s="1"/>
  <c r="B28" i="44"/>
  <c r="AB28" i="44"/>
  <c r="AA28" i="44"/>
  <c r="AH40" i="44"/>
  <c r="AH52" i="44"/>
  <c r="D154" i="44"/>
  <c r="B155" i="44"/>
  <c r="Y28" i="44"/>
  <c r="J28" i="51"/>
  <c r="N28" i="51"/>
  <c r="L26" i="51"/>
  <c r="L27" i="51" s="1"/>
  <c r="B28" i="51"/>
  <c r="AH30" i="48"/>
  <c r="AH34" i="48"/>
  <c r="AH40" i="48"/>
  <c r="AH52" i="48"/>
  <c r="M28" i="51"/>
  <c r="K26" i="51"/>
  <c r="K27" i="51" s="1"/>
  <c r="AC26" i="44"/>
  <c r="AC27" i="44" s="1"/>
  <c r="AC28" i="44"/>
  <c r="L28" i="51"/>
  <c r="J26" i="51"/>
  <c r="J27" i="51" s="1"/>
  <c r="I28" i="44"/>
  <c r="G26" i="44"/>
  <c r="G27" i="44" s="1"/>
  <c r="G28" i="44"/>
  <c r="H28" i="44"/>
  <c r="H28" i="51"/>
  <c r="F26" i="51"/>
  <c r="F27" i="51" s="1"/>
  <c r="AI32" i="48"/>
  <c r="AI30" i="48"/>
  <c r="C28" i="51"/>
  <c r="M26" i="51"/>
  <c r="M27" i="51" s="1"/>
  <c r="U28" i="44"/>
  <c r="V28" i="44"/>
  <c r="T28" i="44"/>
  <c r="B159" i="51"/>
  <c r="D158" i="51"/>
  <c r="I28" i="51"/>
  <c r="F28" i="51"/>
  <c r="D26" i="51"/>
  <c r="D27" i="51" s="1"/>
  <c r="G28" i="51"/>
  <c r="E26" i="51"/>
  <c r="E27" i="51" s="1"/>
  <c r="M27" i="48" l="1"/>
  <c r="G27" i="48"/>
  <c r="P27" i="48"/>
  <c r="AI42" i="50"/>
  <c r="AI50" i="50"/>
  <c r="AI48" i="50"/>
  <c r="AI52" i="42"/>
  <c r="D27" i="48"/>
  <c r="AI34" i="50"/>
  <c r="AI46" i="50"/>
  <c r="AI40" i="50"/>
  <c r="E27" i="48"/>
  <c r="AI52" i="49"/>
  <c r="AI34" i="42"/>
  <c r="AI48" i="51"/>
  <c r="AI44" i="51"/>
  <c r="AI46" i="51"/>
  <c r="AI40" i="51"/>
  <c r="AI42" i="51"/>
  <c r="AI50" i="51"/>
  <c r="AI40" i="44"/>
  <c r="AI42" i="44"/>
  <c r="AI50" i="44"/>
  <c r="AI46" i="44"/>
  <c r="AI48" i="44"/>
  <c r="AI44" i="44"/>
  <c r="AI40" i="48"/>
  <c r="AI34" i="48"/>
  <c r="AI48" i="48"/>
  <c r="AI44" i="48"/>
  <c r="AI42" i="48"/>
  <c r="AI46" i="48"/>
  <c r="AI50" i="48"/>
  <c r="AI52" i="50" l="1"/>
  <c r="AI52" i="51"/>
  <c r="AI52" i="44"/>
  <c r="AI52"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200-000001000000}">
      <text>
        <r>
          <rPr>
            <b/>
            <sz val="8"/>
            <color rgb="FF000000"/>
            <rFont val="Tahoma"/>
            <family val="2"/>
          </rPr>
          <t>michael.fleetwood:</t>
        </r>
        <r>
          <rPr>
            <sz val="8"/>
            <color rgb="FF000000"/>
            <rFont val="Tahoma"/>
            <family val="2"/>
          </rPr>
          <t xml:space="preserve">
</t>
        </r>
        <r>
          <rPr>
            <sz val="8"/>
            <color rgb="FF000000"/>
            <rFont val="Tahoma"/>
            <family val="2"/>
          </rPr>
          <t>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1" shapeId="0" xr:uid="{00000000-0006-0000-0200-000002000000}">
      <text>
        <r>
          <rPr>
            <b/>
            <sz val="9"/>
            <color rgb="FF000000"/>
            <rFont val="Tahoma"/>
            <family val="2"/>
          </rPr>
          <t>Fleetwood, Michael T CTR  COMNAVAIRLANT, NC007:</t>
        </r>
        <r>
          <rPr>
            <sz val="9"/>
            <color rgb="FF000000"/>
            <rFont val="Tahoma"/>
            <family val="2"/>
          </rPr>
          <t xml:space="preserve">
</t>
        </r>
        <r>
          <rPr>
            <sz val="9"/>
            <color rgb="FF000000"/>
            <rFont val="Tahoma"/>
            <family val="2"/>
          </rPr>
          <t>Max Defiict across all Racks and Pods</t>
        </r>
      </text>
    </comment>
    <comment ref="AG40" authorId="0" shapeId="0" xr:uid="{00000000-0006-0000-0200-000003000000}">
      <text>
        <r>
          <rPr>
            <b/>
            <sz val="8"/>
            <color rgb="FF000000"/>
            <rFont val="Tahoma"/>
            <family val="2"/>
          </rPr>
          <t>michael.fleetwood:</t>
        </r>
        <r>
          <rPr>
            <sz val="8"/>
            <color rgb="FF000000"/>
            <rFont val="Tahoma"/>
            <family val="2"/>
          </rPr>
          <t xml:space="preserve">
</t>
        </r>
        <r>
          <rPr>
            <sz val="8"/>
            <color rgb="FF000000"/>
            <rFont val="Tahoma"/>
            <family val="2"/>
          </rPr>
          <t>Modify the number in the yellow blocks to see the deficit calculation change.</t>
        </r>
      </text>
    </comment>
    <comment ref="A47" authorId="1" shapeId="0" xr:uid="{00000000-0006-0000-0200-000004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1" shapeId="0" xr:uid="{00000000-0006-0000-0200-000005000000}">
      <text>
        <r>
          <rPr>
            <b/>
            <sz val="9"/>
            <color rgb="FF000000"/>
            <rFont val="Tahoma"/>
            <family val="2"/>
          </rPr>
          <t>Fleetwood, Michael T CTR  COMNAVAIRLANT, NC007:</t>
        </r>
        <r>
          <rPr>
            <sz val="9"/>
            <color rgb="FF000000"/>
            <rFont val="Tahoma"/>
            <family val="2"/>
          </rPr>
          <t xml:space="preserve">
</t>
        </r>
        <r>
          <rPr>
            <sz val="9"/>
            <color rgb="FF000000"/>
            <rFont val="Tahoma"/>
            <family val="2"/>
          </rPr>
          <t>Sum Deficit across all Transmitters</t>
        </r>
      </text>
    </comment>
    <comment ref="A94" authorId="2" shapeId="0" xr:uid="{00000000-0006-0000-0200-000006000000}">
      <text>
        <r>
          <rPr>
            <sz val="8"/>
            <color rgb="FF000000"/>
            <rFont val="Tahoma"/>
            <family val="2"/>
          </rPr>
          <t>2 Standard Deviation based on performance Standard</t>
        </r>
      </text>
    </comment>
    <comment ref="A95" authorId="2" shapeId="0" xr:uid="{00000000-0006-0000-0200-000007000000}">
      <text>
        <r>
          <rPr>
            <sz val="8"/>
            <color rgb="FF000000"/>
            <rFont val="Tahoma"/>
            <family val="2"/>
          </rPr>
          <t>1 Standard Deviation based on performance Standard</t>
        </r>
      </text>
    </comment>
    <comment ref="A104" authorId="0" shapeId="0" xr:uid="{00000000-0006-0000-0200-000008000000}">
      <text>
        <r>
          <rPr>
            <b/>
            <sz val="8"/>
            <color rgb="FF000000"/>
            <rFont val="Tahoma"/>
            <family val="2"/>
          </rPr>
          <t>michael.fleetwood:</t>
        </r>
        <r>
          <rPr>
            <sz val="8"/>
            <color rgb="FF000000"/>
            <rFont val="Tahoma"/>
            <family val="2"/>
          </rPr>
          <t xml:space="preserve">
</t>
        </r>
        <r>
          <rPr>
            <sz val="8"/>
            <color rgb="FF000000"/>
            <rFont val="Tahoma"/>
            <family val="2"/>
          </rPr>
          <t xml:space="preserve">Values from VAQ EA-18G 
</t>
        </r>
        <r>
          <rPr>
            <sz val="8"/>
            <color rgb="FF000000"/>
            <rFont val="Tahoma"/>
            <family val="2"/>
          </rPr>
          <t>CVW T&amp;R</t>
        </r>
      </text>
    </comment>
    <comment ref="E119" authorId="3" shapeId="0" xr:uid="{00000000-0006-0000-0200-000009000000}">
      <text>
        <r>
          <rPr>
            <b/>
            <sz val="8"/>
            <color rgb="FF000000"/>
            <rFont val="Tahoma"/>
            <family val="2"/>
          </rPr>
          <t>russell.w.scott:</t>
        </r>
        <r>
          <rPr>
            <sz val="8"/>
            <color rgb="FF000000"/>
            <rFont val="Tahoma"/>
            <family val="2"/>
          </rPr>
          <t xml:space="preserve">
</t>
        </r>
        <r>
          <rPr>
            <sz val="8"/>
            <color rgb="FF000000"/>
            <rFont val="Tahoma"/>
            <family val="2"/>
          </rPr>
          <t>SFARP</t>
        </r>
      </text>
    </comment>
    <comment ref="J119" authorId="3" shapeId="0" xr:uid="{00000000-0006-0000-0200-00000A000000}">
      <text>
        <r>
          <rPr>
            <b/>
            <sz val="8"/>
            <color rgb="FF000000"/>
            <rFont val="Tahoma"/>
            <family val="2"/>
          </rPr>
          <t>russell.w.scott:</t>
        </r>
        <r>
          <rPr>
            <sz val="8"/>
            <color rgb="FF000000"/>
            <rFont val="Tahoma"/>
            <family val="2"/>
          </rPr>
          <t xml:space="preserve">
</t>
        </r>
        <r>
          <rPr>
            <sz val="8"/>
            <color rgb="FF000000"/>
            <rFont val="Tahoma"/>
            <family val="2"/>
          </rPr>
          <t>TSTA/FEP</t>
        </r>
      </text>
    </comment>
    <comment ref="K119" authorId="3" shapeId="0" xr:uid="{00000000-0006-0000-0200-00000B000000}">
      <text>
        <r>
          <rPr>
            <b/>
            <sz val="8"/>
            <color rgb="FF000000"/>
            <rFont val="Tahoma"/>
            <family val="2"/>
          </rPr>
          <t>russell.w.scott:</t>
        </r>
        <r>
          <rPr>
            <sz val="8"/>
            <color rgb="FF000000"/>
            <rFont val="Tahoma"/>
            <family val="2"/>
          </rPr>
          <t xml:space="preserve">
</t>
        </r>
        <r>
          <rPr>
            <sz val="8"/>
            <color rgb="FF000000"/>
            <rFont val="Tahoma"/>
            <family val="2"/>
          </rPr>
          <t>C2X/Fallon</t>
        </r>
      </text>
    </comment>
    <comment ref="L119" authorId="3" shapeId="0" xr:uid="{00000000-0006-0000-0200-00000C000000}">
      <text>
        <r>
          <rPr>
            <b/>
            <sz val="8"/>
            <color rgb="FF000000"/>
            <rFont val="Tahoma"/>
            <family val="2"/>
          </rPr>
          <t>russell.w.scott:</t>
        </r>
        <r>
          <rPr>
            <sz val="8"/>
            <color rgb="FF000000"/>
            <rFont val="Tahoma"/>
            <family val="2"/>
          </rPr>
          <t xml:space="preserve">
</t>
        </r>
        <r>
          <rPr>
            <sz val="8"/>
            <color rgb="FF000000"/>
            <rFont val="Tahoma"/>
            <family val="2"/>
          </rPr>
          <t>C2X/Fallon</t>
        </r>
      </text>
    </comment>
    <comment ref="M119" authorId="3" shapeId="0" xr:uid="{00000000-0006-0000-0200-00000D000000}">
      <text>
        <r>
          <rPr>
            <b/>
            <sz val="8"/>
            <color rgb="FF000000"/>
            <rFont val="Tahoma"/>
            <family val="2"/>
          </rPr>
          <t>russell.w.scott:</t>
        </r>
        <r>
          <rPr>
            <sz val="8"/>
            <color rgb="FF000000"/>
            <rFont val="Tahoma"/>
            <family val="2"/>
          </rPr>
          <t xml:space="preserve">
</t>
        </r>
        <r>
          <rPr>
            <sz val="8"/>
            <color rgb="FF000000"/>
            <rFont val="Tahoma"/>
            <family val="2"/>
          </rPr>
          <t>C2X/Fallon</t>
        </r>
      </text>
    </comment>
    <comment ref="P119" authorId="3" shapeId="0" xr:uid="{00000000-0006-0000-0200-00000E000000}">
      <text>
        <r>
          <rPr>
            <b/>
            <sz val="8"/>
            <color rgb="FF000000"/>
            <rFont val="Tahoma"/>
            <family val="2"/>
          </rPr>
          <t>russell.w.scott:</t>
        </r>
        <r>
          <rPr>
            <sz val="8"/>
            <color rgb="FF000000"/>
            <rFont val="Tahoma"/>
            <family val="2"/>
          </rPr>
          <t xml:space="preserve">
</t>
        </r>
        <r>
          <rPr>
            <sz val="8"/>
            <color rgb="FF000000"/>
            <rFont val="Tahoma"/>
            <family val="2"/>
          </rPr>
          <t>Pre-deployment at sea sustainment</t>
        </r>
      </text>
    </comment>
    <comment ref="A150" authorId="1" shapeId="0" xr:uid="{00000000-0006-0000-0200-00000F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1" shapeId="0" xr:uid="{00000000-0006-0000-0300-000002000000}">
      <text>
        <r>
          <rPr>
            <b/>
            <sz val="9"/>
            <color indexed="81"/>
            <rFont val="Tahoma"/>
            <family val="2"/>
          </rPr>
          <t>Fleetwood, Michael T CTR  COMNAVAIRLANT, NC007:</t>
        </r>
        <r>
          <rPr>
            <sz val="9"/>
            <color indexed="81"/>
            <rFont val="Tahoma"/>
            <family val="2"/>
          </rPr>
          <t xml:space="preserve">
Max Defiict across all Racks and Pods</t>
        </r>
      </text>
    </comment>
    <comment ref="AG40" authorId="0" shapeId="0" xr:uid="{00000000-0006-0000-0300-000003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1" shapeId="0" xr:uid="{00000000-0006-0000-0300-000004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1" shapeId="0" xr:uid="{00000000-0006-0000-0300-000005000000}">
      <text>
        <r>
          <rPr>
            <b/>
            <sz val="9"/>
            <color indexed="81"/>
            <rFont val="Tahoma"/>
            <family val="2"/>
          </rPr>
          <t>Fleetwood, Michael T CTR  COMNAVAIRLANT, NC007:</t>
        </r>
        <r>
          <rPr>
            <sz val="9"/>
            <color indexed="81"/>
            <rFont val="Tahoma"/>
            <family val="2"/>
          </rPr>
          <t xml:space="preserve">
Sum Deficit across all Transmitters</t>
        </r>
      </text>
    </comment>
    <comment ref="A94" authorId="2" shapeId="0" xr:uid="{00000000-0006-0000-0300-000006000000}">
      <text>
        <r>
          <rPr>
            <sz val="8"/>
            <color indexed="81"/>
            <rFont val="Tahoma"/>
            <family val="2"/>
          </rPr>
          <t>2 Standard Deviation based on performance Standard</t>
        </r>
      </text>
    </comment>
    <comment ref="A95" authorId="2" shapeId="0" xr:uid="{00000000-0006-0000-0300-000007000000}">
      <text>
        <r>
          <rPr>
            <sz val="8"/>
            <color indexed="81"/>
            <rFont val="Tahoma"/>
            <family val="2"/>
          </rPr>
          <t>1 Standard Deviation based on performance Standard</t>
        </r>
      </text>
    </comment>
    <comment ref="A104" authorId="0" shapeId="0" xr:uid="{00000000-0006-0000-0300-000008000000}">
      <text>
        <r>
          <rPr>
            <b/>
            <sz val="8"/>
            <color indexed="81"/>
            <rFont val="Tahoma"/>
            <family val="2"/>
          </rPr>
          <t>michael.fleetwood:</t>
        </r>
        <r>
          <rPr>
            <sz val="8"/>
            <color indexed="81"/>
            <rFont val="Tahoma"/>
            <family val="2"/>
          </rPr>
          <t xml:space="preserve">
Values from VAQ EA-18G 
CVW T&amp;R</t>
        </r>
      </text>
    </comment>
    <comment ref="E119" authorId="3" shapeId="0" xr:uid="{00000000-0006-0000-0300-000009000000}">
      <text>
        <r>
          <rPr>
            <b/>
            <sz val="8"/>
            <color indexed="81"/>
            <rFont val="Tahoma"/>
            <family val="2"/>
          </rPr>
          <t>russell.w.scott:</t>
        </r>
        <r>
          <rPr>
            <sz val="8"/>
            <color indexed="81"/>
            <rFont val="Tahoma"/>
            <family val="2"/>
          </rPr>
          <t xml:space="preserve">
SFARP</t>
        </r>
      </text>
    </comment>
    <comment ref="J119" authorId="3" shapeId="0" xr:uid="{00000000-0006-0000-0300-00000A000000}">
      <text>
        <r>
          <rPr>
            <b/>
            <sz val="8"/>
            <color indexed="81"/>
            <rFont val="Tahoma"/>
            <family val="2"/>
          </rPr>
          <t>russell.w.scott:</t>
        </r>
        <r>
          <rPr>
            <sz val="8"/>
            <color indexed="81"/>
            <rFont val="Tahoma"/>
            <family val="2"/>
          </rPr>
          <t xml:space="preserve">
TSTA/FEP</t>
        </r>
      </text>
    </comment>
    <comment ref="K119" authorId="3" shapeId="0" xr:uid="{00000000-0006-0000-0300-00000B000000}">
      <text>
        <r>
          <rPr>
            <b/>
            <sz val="8"/>
            <color indexed="81"/>
            <rFont val="Tahoma"/>
            <family val="2"/>
          </rPr>
          <t>russell.w.scott:</t>
        </r>
        <r>
          <rPr>
            <sz val="8"/>
            <color indexed="81"/>
            <rFont val="Tahoma"/>
            <family val="2"/>
          </rPr>
          <t xml:space="preserve">
C2X/Fallon</t>
        </r>
      </text>
    </comment>
    <comment ref="L119" authorId="3" shapeId="0" xr:uid="{00000000-0006-0000-0300-00000C000000}">
      <text>
        <r>
          <rPr>
            <b/>
            <sz val="8"/>
            <color indexed="81"/>
            <rFont val="Tahoma"/>
            <family val="2"/>
          </rPr>
          <t>russell.w.scott:</t>
        </r>
        <r>
          <rPr>
            <sz val="8"/>
            <color indexed="81"/>
            <rFont val="Tahoma"/>
            <family val="2"/>
          </rPr>
          <t xml:space="preserve">
C2X/Fallon</t>
        </r>
      </text>
    </comment>
    <comment ref="M119" authorId="3" shapeId="0" xr:uid="{00000000-0006-0000-0300-00000D000000}">
      <text>
        <r>
          <rPr>
            <b/>
            <sz val="8"/>
            <color indexed="81"/>
            <rFont val="Tahoma"/>
            <family val="2"/>
          </rPr>
          <t>russell.w.scott:</t>
        </r>
        <r>
          <rPr>
            <sz val="8"/>
            <color indexed="81"/>
            <rFont val="Tahoma"/>
            <family val="2"/>
          </rPr>
          <t xml:space="preserve">
C2X/Fallon</t>
        </r>
      </text>
    </comment>
    <comment ref="P119" authorId="3" shapeId="0" xr:uid="{00000000-0006-0000-0300-00000E000000}">
      <text>
        <r>
          <rPr>
            <b/>
            <sz val="8"/>
            <color indexed="81"/>
            <rFont val="Tahoma"/>
            <family val="2"/>
          </rPr>
          <t>russell.w.scott:</t>
        </r>
        <r>
          <rPr>
            <sz val="8"/>
            <color indexed="81"/>
            <rFont val="Tahoma"/>
            <family val="2"/>
          </rPr>
          <t xml:space="preserve">
Pre-deployment at sea sustainment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Kenneth L Hansen</author>
    <author>michael.fleetwood</author>
    <author>Fleetwood, Michael T CTR  COMNAVAIRLANT, NC007</author>
    <author>Home</author>
  </authors>
  <commentList>
    <comment ref="C10" authorId="0" shapeId="0" xr:uid="{00000000-0006-0000-0400-000001000000}">
      <text>
        <r>
          <rPr>
            <b/>
            <sz val="8"/>
            <color indexed="81"/>
            <rFont val="Tahoma"/>
            <family val="2"/>
          </rPr>
          <t>Kenneth L Hansen:</t>
        </r>
        <r>
          <rPr>
            <sz val="8"/>
            <color indexed="81"/>
            <rFont val="Tahoma"/>
            <family val="2"/>
          </rPr>
          <t xml:space="preserve">
CNAP standard is 2.7 afloat.  CNAL transit hours should not be included in the fleet standards, because they drastically affect flightline entitlements.</t>
        </r>
      </text>
    </comment>
    <comment ref="A30" authorId="1" shapeId="0" xr:uid="{00000000-0006-0000-04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2" shapeId="0" xr:uid="{00000000-0006-0000-0400-000003000000}">
      <text>
        <r>
          <rPr>
            <b/>
            <sz val="9"/>
            <color indexed="81"/>
            <rFont val="Tahoma"/>
            <family val="2"/>
          </rPr>
          <t>Fleetwood, Michael T CTR  COMNAVAIRLANT, NC007:</t>
        </r>
        <r>
          <rPr>
            <sz val="9"/>
            <color indexed="81"/>
            <rFont val="Tahoma"/>
            <family val="2"/>
          </rPr>
          <t xml:space="preserve">
Max Defiict across all Racks and Pods</t>
        </r>
      </text>
    </comment>
    <comment ref="AG40" authorId="1" shapeId="0" xr:uid="{00000000-0006-0000-0400-000004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2" shapeId="0" xr:uid="{00000000-0006-0000-04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2" shapeId="0" xr:uid="{00000000-0006-0000-0400-000006000000}">
      <text>
        <r>
          <rPr>
            <b/>
            <sz val="9"/>
            <color indexed="81"/>
            <rFont val="Tahoma"/>
            <family val="2"/>
          </rPr>
          <t>Fleetwood, Michael T CTR  COMNAVAIRLANT, NC007:</t>
        </r>
        <r>
          <rPr>
            <sz val="9"/>
            <color indexed="81"/>
            <rFont val="Tahoma"/>
            <family val="2"/>
          </rPr>
          <t xml:space="preserve">
Sum Deficit across all Transmitters</t>
        </r>
      </text>
    </comment>
    <comment ref="A94" authorId="3" shapeId="0" xr:uid="{00000000-0006-0000-0400-000007000000}">
      <text>
        <r>
          <rPr>
            <sz val="8"/>
            <color indexed="81"/>
            <rFont val="Tahoma"/>
            <family val="2"/>
          </rPr>
          <t>2 Standard Deviation based on performance Standard</t>
        </r>
      </text>
    </comment>
    <comment ref="A95" authorId="3" shapeId="0" xr:uid="{00000000-0006-0000-0400-000008000000}">
      <text>
        <r>
          <rPr>
            <sz val="8"/>
            <color indexed="81"/>
            <rFont val="Tahoma"/>
            <family val="2"/>
          </rPr>
          <t>1 Standard Deviation based on performance Standard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Kenneth L Hansen</author>
    <author>michael.fleetwood</author>
    <author>Fleetwood, Michael T CTR  COMNAVAIRLANT, NC007</author>
    <author>Home</author>
  </authors>
  <commentList>
    <comment ref="C10" authorId="0" shapeId="0" xr:uid="{00000000-0006-0000-0500-000001000000}">
      <text>
        <r>
          <rPr>
            <b/>
            <sz val="8"/>
            <color indexed="81"/>
            <rFont val="Tahoma"/>
            <family val="2"/>
          </rPr>
          <t>Kenneth L Hansen:</t>
        </r>
        <r>
          <rPr>
            <sz val="8"/>
            <color indexed="81"/>
            <rFont val="Tahoma"/>
            <family val="2"/>
          </rPr>
          <t xml:space="preserve">
CNAP standard is 2.7 afloat.  CNAL transit hours should not be included in the fleet standards, because they drastically affect flightline entitlements.</t>
        </r>
      </text>
    </comment>
    <comment ref="A30" authorId="1" shapeId="0" xr:uid="{00000000-0006-0000-05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2" shapeId="0" xr:uid="{00000000-0006-0000-0500-000003000000}">
      <text>
        <r>
          <rPr>
            <b/>
            <sz val="9"/>
            <color rgb="FF000000"/>
            <rFont val="Tahoma"/>
            <family val="2"/>
          </rPr>
          <t>Fleetwood, Michael T CTR  COMNAVAIRLANT, NC007:</t>
        </r>
        <r>
          <rPr>
            <sz val="9"/>
            <color rgb="FF000000"/>
            <rFont val="Tahoma"/>
            <family val="2"/>
          </rPr>
          <t xml:space="preserve">
</t>
        </r>
        <r>
          <rPr>
            <sz val="9"/>
            <color rgb="FF000000"/>
            <rFont val="Tahoma"/>
            <family val="2"/>
          </rPr>
          <t>Max Defiict across all Racks and Pods</t>
        </r>
      </text>
    </comment>
    <comment ref="AG40" authorId="1" shapeId="0" xr:uid="{00000000-0006-0000-0500-000004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2" shapeId="0" xr:uid="{00000000-0006-0000-05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2" shapeId="0" xr:uid="{00000000-0006-0000-0500-000006000000}">
      <text>
        <r>
          <rPr>
            <b/>
            <sz val="9"/>
            <color indexed="81"/>
            <rFont val="Tahoma"/>
            <family val="2"/>
          </rPr>
          <t>Fleetwood, Michael T CTR  COMNAVAIRLANT, NC007:</t>
        </r>
        <r>
          <rPr>
            <sz val="9"/>
            <color indexed="81"/>
            <rFont val="Tahoma"/>
            <family val="2"/>
          </rPr>
          <t xml:space="preserve">
Sum Deficit across all Transmitters</t>
        </r>
      </text>
    </comment>
    <comment ref="A94" authorId="3" shapeId="0" xr:uid="{00000000-0006-0000-0500-000007000000}">
      <text>
        <r>
          <rPr>
            <sz val="8"/>
            <color indexed="81"/>
            <rFont val="Tahoma"/>
            <family val="2"/>
          </rPr>
          <t>2 Standard Deviation based on performance Standard</t>
        </r>
      </text>
    </comment>
    <comment ref="A95" authorId="3" shapeId="0" xr:uid="{00000000-0006-0000-0500-000008000000}">
      <text>
        <r>
          <rPr>
            <sz val="8"/>
            <color indexed="81"/>
            <rFont val="Tahoma"/>
            <family val="2"/>
          </rPr>
          <t>1 Standard Deviation based on performance Standard</t>
        </r>
      </text>
    </comment>
    <comment ref="A104" authorId="1" shapeId="0" xr:uid="{00000000-0006-0000-0500-000009000000}">
      <text>
        <r>
          <rPr>
            <b/>
            <sz val="8"/>
            <color indexed="81"/>
            <rFont val="Tahoma"/>
            <family val="2"/>
          </rPr>
          <t>michael.fleetwood:</t>
        </r>
        <r>
          <rPr>
            <sz val="8"/>
            <color indexed="81"/>
            <rFont val="Tahoma"/>
            <family val="2"/>
          </rPr>
          <t xml:space="preserve">
Values from VAQ EA-18G
Exped T&amp;R</t>
        </r>
      </text>
    </comment>
    <comment ref="A150" authorId="2" shapeId="0" xr:uid="{00000000-0006-0000-0500-00000A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Kenneth L Hansen</author>
    <author>michael.fleetwood</author>
    <author>Fleetwood, Michael T CTR  COMNAVAIRLANT, NC007</author>
    <author>Home</author>
  </authors>
  <commentList>
    <comment ref="C10" authorId="0" shapeId="0" xr:uid="{00000000-0006-0000-0600-000001000000}">
      <text>
        <r>
          <rPr>
            <b/>
            <sz val="8"/>
            <color indexed="81"/>
            <rFont val="Tahoma"/>
            <family val="2"/>
          </rPr>
          <t>Kenneth L Hansen:</t>
        </r>
        <r>
          <rPr>
            <sz val="8"/>
            <color indexed="81"/>
            <rFont val="Tahoma"/>
            <family val="2"/>
          </rPr>
          <t xml:space="preserve">
CNAP standard is 2.7 afloat.  CNAL transit hours should not be included in the fleet standards, because they drastically affect flightline entitlements.</t>
        </r>
      </text>
    </comment>
    <comment ref="A30" authorId="1" shapeId="0" xr:uid="{00000000-0006-0000-06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2" shapeId="0" xr:uid="{00000000-0006-0000-0600-000003000000}">
      <text>
        <r>
          <rPr>
            <b/>
            <sz val="9"/>
            <color indexed="81"/>
            <rFont val="Tahoma"/>
            <family val="2"/>
          </rPr>
          <t>Fleetwood, Michael T CTR  COMNAVAIRLANT, NC007:</t>
        </r>
        <r>
          <rPr>
            <sz val="9"/>
            <color indexed="81"/>
            <rFont val="Tahoma"/>
            <family val="2"/>
          </rPr>
          <t xml:space="preserve">
Max Defiict across all Racks and Pods</t>
        </r>
      </text>
    </comment>
    <comment ref="AG40" authorId="1" shapeId="0" xr:uid="{00000000-0006-0000-0600-000004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2" shapeId="0" xr:uid="{00000000-0006-0000-06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2" shapeId="0" xr:uid="{00000000-0006-0000-0600-000006000000}">
      <text>
        <r>
          <rPr>
            <b/>
            <sz val="9"/>
            <color indexed="81"/>
            <rFont val="Tahoma"/>
            <family val="2"/>
          </rPr>
          <t>Fleetwood, Michael T CTR  COMNAVAIRLANT, NC007:</t>
        </r>
        <r>
          <rPr>
            <sz val="9"/>
            <color indexed="81"/>
            <rFont val="Tahoma"/>
            <family val="2"/>
          </rPr>
          <t xml:space="preserve">
Sum Deficit across all Transmitters</t>
        </r>
      </text>
    </comment>
    <comment ref="A94" authorId="3" shapeId="0" xr:uid="{00000000-0006-0000-0600-000007000000}">
      <text>
        <r>
          <rPr>
            <sz val="8"/>
            <color indexed="81"/>
            <rFont val="Tahoma"/>
            <family val="2"/>
          </rPr>
          <t>2 Standard Deviation based on performance Standard</t>
        </r>
      </text>
    </comment>
    <comment ref="A95" authorId="3" shapeId="0" xr:uid="{00000000-0006-0000-0600-000008000000}">
      <text>
        <r>
          <rPr>
            <sz val="8"/>
            <color indexed="81"/>
            <rFont val="Tahoma"/>
            <family val="2"/>
          </rPr>
          <t>1 Standard Deviation based on performance Standard</t>
        </r>
      </text>
    </comment>
    <comment ref="A104" authorId="1" shapeId="0" xr:uid="{00000000-0006-0000-0600-000009000000}">
      <text>
        <r>
          <rPr>
            <b/>
            <sz val="8"/>
            <color indexed="81"/>
            <rFont val="Tahoma"/>
            <family val="2"/>
          </rPr>
          <t>michael.fleetwood:</t>
        </r>
        <r>
          <rPr>
            <sz val="8"/>
            <color indexed="81"/>
            <rFont val="Tahoma"/>
            <family val="2"/>
          </rPr>
          <t xml:space="preserve">
Values from VAQ EA-18G
Exped T&amp;R</t>
        </r>
      </text>
    </comment>
    <comment ref="A150" authorId="2" shapeId="0" xr:uid="{00000000-0006-0000-0600-00000A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Kenneth L Hansen</author>
    <author>michael.fleetwood</author>
    <author>Fleetwood, Michael T CTR  COMNAVAIRLANT, NC007</author>
    <author>Home</author>
  </authors>
  <commentList>
    <comment ref="C10" authorId="0" shapeId="0" xr:uid="{00000000-0006-0000-0700-000001000000}">
      <text>
        <r>
          <rPr>
            <b/>
            <sz val="8"/>
            <color rgb="FF000000"/>
            <rFont val="Tahoma"/>
            <family val="2"/>
          </rPr>
          <t>Kenneth L Hansen:</t>
        </r>
        <r>
          <rPr>
            <sz val="8"/>
            <color rgb="FF000000"/>
            <rFont val="Tahoma"/>
            <family val="2"/>
          </rPr>
          <t xml:space="preserve">
</t>
        </r>
        <r>
          <rPr>
            <sz val="8"/>
            <color rgb="FF000000"/>
            <rFont val="Tahoma"/>
            <family val="2"/>
          </rPr>
          <t>CNAP standard is 2.7 afloat.  CNAL transit hours should not be included in the fleet standards, because they drastically affect flightline entitlements.</t>
        </r>
      </text>
    </comment>
    <comment ref="A30" authorId="1" shapeId="0" xr:uid="{00000000-0006-0000-07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2" shapeId="0" xr:uid="{00000000-0006-0000-0700-000003000000}">
      <text>
        <r>
          <rPr>
            <b/>
            <sz val="9"/>
            <color indexed="81"/>
            <rFont val="Tahoma"/>
            <family val="2"/>
          </rPr>
          <t>Fleetwood, Michael T CTR  COMNAVAIRLANT, NC007:</t>
        </r>
        <r>
          <rPr>
            <sz val="9"/>
            <color indexed="81"/>
            <rFont val="Tahoma"/>
            <family val="2"/>
          </rPr>
          <t xml:space="preserve">
Max Defiict across all Racks and Pods</t>
        </r>
      </text>
    </comment>
    <comment ref="AG40" authorId="1" shapeId="0" xr:uid="{00000000-0006-0000-0700-000004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2" shapeId="0" xr:uid="{00000000-0006-0000-07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2" shapeId="0" xr:uid="{00000000-0006-0000-0700-000006000000}">
      <text>
        <r>
          <rPr>
            <b/>
            <sz val="9"/>
            <color rgb="FF000000"/>
            <rFont val="Tahoma"/>
            <family val="2"/>
          </rPr>
          <t>Fleetwood, Michael T CTR  COMNAVAIRLANT, NC007:</t>
        </r>
        <r>
          <rPr>
            <sz val="9"/>
            <color rgb="FF000000"/>
            <rFont val="Tahoma"/>
            <family val="2"/>
          </rPr>
          <t xml:space="preserve">
</t>
        </r>
        <r>
          <rPr>
            <sz val="9"/>
            <color rgb="FF000000"/>
            <rFont val="Tahoma"/>
            <family val="2"/>
          </rPr>
          <t>Sum Deficit across all Transmitters</t>
        </r>
      </text>
    </comment>
    <comment ref="A94" authorId="3" shapeId="0" xr:uid="{00000000-0006-0000-0700-000007000000}">
      <text>
        <r>
          <rPr>
            <sz val="8"/>
            <color rgb="FF000000"/>
            <rFont val="Tahoma"/>
            <family val="2"/>
          </rPr>
          <t>2 Standard Deviation based on performance Standard</t>
        </r>
      </text>
    </comment>
    <comment ref="A95" authorId="3" shapeId="0" xr:uid="{00000000-0006-0000-0700-000008000000}">
      <text>
        <r>
          <rPr>
            <sz val="8"/>
            <color rgb="FF000000"/>
            <rFont val="Tahoma"/>
            <family val="2"/>
          </rPr>
          <t>1 Standard Deviation based on performance Standard</t>
        </r>
      </text>
    </comment>
    <comment ref="A104" authorId="1" shapeId="0" xr:uid="{00000000-0006-0000-0700-000009000000}">
      <text>
        <r>
          <rPr>
            <b/>
            <sz val="8"/>
            <color rgb="FF000000"/>
            <rFont val="Tahoma"/>
            <family val="2"/>
          </rPr>
          <t>michael.fleetwood:</t>
        </r>
        <r>
          <rPr>
            <sz val="8"/>
            <color rgb="FF000000"/>
            <rFont val="Tahoma"/>
            <family val="2"/>
          </rPr>
          <t xml:space="preserve">
</t>
        </r>
        <r>
          <rPr>
            <sz val="8"/>
            <color rgb="FF000000"/>
            <rFont val="Tahoma"/>
            <family val="2"/>
          </rPr>
          <t xml:space="preserve">VAQ EA-18G Res 31 Jul15
</t>
        </r>
      </text>
    </comment>
    <comment ref="A150" authorId="2" shapeId="0" xr:uid="{00000000-0006-0000-0700-00000A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Kenneth L Hansen</author>
    <author>michael.fleetwood</author>
    <author>Fleetwood, Michael T CTR  COMNAVAIRLANT, NC007</author>
    <author>Home</author>
  </authors>
  <commentList>
    <comment ref="C10" authorId="0" shapeId="0" xr:uid="{00000000-0006-0000-0800-000001000000}">
      <text>
        <r>
          <rPr>
            <b/>
            <sz val="8"/>
            <color rgb="FF000000"/>
            <rFont val="Tahoma"/>
            <family val="2"/>
          </rPr>
          <t>Kenneth L Hansen:</t>
        </r>
        <r>
          <rPr>
            <sz val="8"/>
            <color rgb="FF000000"/>
            <rFont val="Tahoma"/>
            <family val="2"/>
          </rPr>
          <t xml:space="preserve">
</t>
        </r>
        <r>
          <rPr>
            <sz val="8"/>
            <color rgb="FF000000"/>
            <rFont val="Tahoma"/>
            <family val="2"/>
          </rPr>
          <t>CNAP standard is 2.7 afloat.  CNAL transit hours should not be included in the fleet standards, because they drastically affect flightline entitlements.</t>
        </r>
      </text>
    </comment>
    <comment ref="A30" authorId="1" shapeId="0" xr:uid="{00000000-0006-0000-08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I34" authorId="2" shapeId="0" xr:uid="{00000000-0006-0000-0800-000003000000}">
      <text>
        <r>
          <rPr>
            <b/>
            <sz val="9"/>
            <color indexed="81"/>
            <rFont val="Tahoma"/>
            <family val="2"/>
          </rPr>
          <t>Fleetwood, Michael T CTR  COMNAVAIRLANT, NC007:</t>
        </r>
        <r>
          <rPr>
            <sz val="9"/>
            <color indexed="81"/>
            <rFont val="Tahoma"/>
            <family val="2"/>
          </rPr>
          <t xml:space="preserve">
Max Defiict across all Racks and Pods</t>
        </r>
      </text>
    </comment>
    <comment ref="AG40" authorId="1" shapeId="0" xr:uid="{00000000-0006-0000-0800-000004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47" authorId="2" shapeId="0" xr:uid="{00000000-0006-0000-08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I52" authorId="2" shapeId="0" xr:uid="{00000000-0006-0000-0800-000006000000}">
      <text>
        <r>
          <rPr>
            <b/>
            <sz val="9"/>
            <color rgb="FF000000"/>
            <rFont val="Tahoma"/>
            <family val="2"/>
          </rPr>
          <t>Fleetwood, Michael T CTR  COMNAVAIRLANT, NC007:</t>
        </r>
        <r>
          <rPr>
            <sz val="9"/>
            <color rgb="FF000000"/>
            <rFont val="Tahoma"/>
            <family val="2"/>
          </rPr>
          <t xml:space="preserve">
</t>
        </r>
        <r>
          <rPr>
            <sz val="9"/>
            <color rgb="FF000000"/>
            <rFont val="Tahoma"/>
            <family val="2"/>
          </rPr>
          <t>Sum Deficit across all Transmitters</t>
        </r>
      </text>
    </comment>
    <comment ref="A94" authorId="3" shapeId="0" xr:uid="{00000000-0006-0000-0800-000007000000}">
      <text>
        <r>
          <rPr>
            <sz val="8"/>
            <color rgb="FF000000"/>
            <rFont val="Tahoma"/>
            <family val="2"/>
          </rPr>
          <t>2 Standard Deviation based on performance Standard</t>
        </r>
      </text>
    </comment>
    <comment ref="A95" authorId="3" shapeId="0" xr:uid="{00000000-0006-0000-0800-000008000000}">
      <text>
        <r>
          <rPr>
            <sz val="8"/>
            <color rgb="FF000000"/>
            <rFont val="Tahoma"/>
            <family val="2"/>
          </rPr>
          <t>1 Standard Deviation based on performance Standard</t>
        </r>
      </text>
    </comment>
    <comment ref="A104" authorId="1" shapeId="0" xr:uid="{00000000-0006-0000-0800-000009000000}">
      <text>
        <r>
          <rPr>
            <b/>
            <sz val="8"/>
            <color rgb="FF000000"/>
            <rFont val="Tahoma"/>
            <family val="2"/>
          </rPr>
          <t>michael.fleetwood:</t>
        </r>
        <r>
          <rPr>
            <sz val="8"/>
            <color rgb="FF000000"/>
            <rFont val="Tahoma"/>
            <family val="2"/>
          </rPr>
          <t xml:space="preserve">
</t>
        </r>
        <r>
          <rPr>
            <sz val="8"/>
            <color rgb="FF000000"/>
            <rFont val="Tahoma"/>
            <family val="2"/>
          </rPr>
          <t xml:space="preserve">VAQ EA-18G Res 31 Jul15
</t>
        </r>
      </text>
    </comment>
    <comment ref="A150" authorId="2" shapeId="0" xr:uid="{00000000-0006-0000-0800-00000A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
  <commentList>
    <comment ref="B3" authorId="0" shapeId="0" xr:uid="{00000000-0006-0000-0900-000001000000}">
      <text>
        <r>
          <rPr>
            <b/>
            <sz val="8"/>
            <color indexed="81"/>
            <rFont val="Tahoma"/>
            <family val="2"/>
          </rPr>
          <t>michael.fleetwood:</t>
        </r>
        <r>
          <rPr>
            <sz val="8"/>
            <color indexed="81"/>
            <rFont val="Tahoma"/>
            <family val="2"/>
          </rPr>
          <t xml:space="preserve">
APDF Version 136</t>
        </r>
      </text>
    </comment>
    <comment ref="B16" authorId="0" shapeId="0" xr:uid="{00000000-0006-0000-0900-000002000000}">
      <text>
        <r>
          <rPr>
            <b/>
            <sz val="8"/>
            <color indexed="81"/>
            <rFont val="Tahoma"/>
            <family val="2"/>
          </rPr>
          <t>michael.fleetwood:</t>
        </r>
        <r>
          <rPr>
            <sz val="8"/>
            <color indexed="81"/>
            <rFont val="Tahoma"/>
            <family val="2"/>
          </rPr>
          <t xml:space="preserve">
FY-23 NAPP</t>
        </r>
      </text>
    </comment>
    <comment ref="A28" authorId="1" shapeId="0" xr:uid="{00000000-0006-0000-0900-000003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A11" authorId="0" shapeId="0" xr:uid="{00000000-0006-0000-0E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F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F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List>
</comments>
</file>

<file path=xl/sharedStrings.xml><?xml version="1.0" encoding="utf-8"?>
<sst xmlns="http://schemas.openxmlformats.org/spreadsheetml/2006/main" count="3416" uniqueCount="446">
  <si>
    <t>Standard Name</t>
  </si>
  <si>
    <t>ID</t>
  </si>
  <si>
    <t>Rev:</t>
  </si>
  <si>
    <t>AMFOM</t>
  </si>
  <si>
    <t>Definitions</t>
  </si>
  <si>
    <t>Note:  'NEW' Standards are less than 90 Days old</t>
  </si>
  <si>
    <t>Date</t>
  </si>
  <si>
    <t>Standard</t>
  </si>
  <si>
    <t>Change Summary</t>
  </si>
  <si>
    <t>VAQ EA-18G All</t>
  </si>
  <si>
    <t>Created DRRS-N based readiness profile</t>
  </si>
  <si>
    <t>Final Version</t>
  </si>
  <si>
    <t>Revised Transmitter Set and Non-integrated Mission Systems Standards</t>
  </si>
  <si>
    <t>VAQ EA-18G CVW DRRS</t>
  </si>
  <si>
    <t>Updated FRS Standards</t>
  </si>
  <si>
    <t>VAQ EA-18G FDNF DRRS</t>
  </si>
  <si>
    <t>Corrected 'Assigned Pod ACFT Sets' and 'Ready Pod ACFT Sets' formulas</t>
  </si>
  <si>
    <t>Updated Training Readiness Profile</t>
  </si>
  <si>
    <t>All</t>
  </si>
  <si>
    <t>Added Simulator Support Hours / Updated Aircrew and Manning naming conventions to match 19 Oct 12 T&amp;R</t>
  </si>
  <si>
    <t>VAQ EA-18G Reserves DRRS</t>
  </si>
  <si>
    <t>New Standard</t>
  </si>
  <si>
    <t>Updated R+1 formula for 'Flightline %'.  Changed from fixed value of 80% to calculated 60% - Changes all Aircraft and Mission System Entitlements</t>
  </si>
  <si>
    <t>Correct R+5 and R+6 Labels from 'Basic' to 'Maintenance'</t>
  </si>
  <si>
    <t>Updated ATR</t>
  </si>
  <si>
    <t>Updated Sim Fidelity</t>
  </si>
  <si>
    <t>Added and corrected the AMFOM standards.  (incorrect Transmitter values)  Added NTA to Mission System Maps</t>
  </si>
  <si>
    <t>Changed MATT to JTT-R for EOC Code F item.</t>
  </si>
  <si>
    <t>VAQ EA-18G Exped DRRS</t>
  </si>
  <si>
    <t>Adjusted ATR</t>
  </si>
  <si>
    <t>Revised overall model for progressing through FRP Phases</t>
  </si>
  <si>
    <t>Revised Aircreaw Manning numbers to match current T&amp;R Matrices</t>
  </si>
  <si>
    <t>Removed BRUs and SUUs from Non-Integrated Mission Systems</t>
  </si>
  <si>
    <t>CVW, EXPED, and Res Standards</t>
  </si>
  <si>
    <t>Changed POM and PDL RBA and Mission System requirements to match a typical Sustain month per Air Boss Direction</t>
  </si>
  <si>
    <t>Added 6 and 7 PAA versions, updated ALQ-99 component values.  Updated Gonculator logic.</t>
  </si>
  <si>
    <t>VAQ (5 EA-18G CVW) (FRS) DRRS</t>
  </si>
  <si>
    <t>VAQ (7 EA-18G CVW) (FRS) DRRS</t>
  </si>
  <si>
    <t>VAQ EA-18G Reduced NTA CVW FDNF</t>
  </si>
  <si>
    <t>New Reduced NTA to Mission System Matrix</t>
  </si>
  <si>
    <t>VAQ EA-18G Reduced NTA EXPED</t>
  </si>
  <si>
    <t>VAQ EA-18G Reduced NTA Reserve</t>
  </si>
  <si>
    <t>Removed RBA/RFT and associated logic - Added Flightline % and  MC % Logic</t>
  </si>
  <si>
    <t>Added EOC L code: Ready IMC Flight Mission Systems (L), set equal to MC Standard</t>
  </si>
  <si>
    <t>FRS Standards moved to unique tab</t>
  </si>
  <si>
    <t>Added Squadron Manning standards: Rating Fit/Fill, NEC Fit, and MPR</t>
  </si>
  <si>
    <t>Updated AMFOM Standards to remove RBA and replace with MC and added EOC (L)</t>
  </si>
  <si>
    <t>6 and 7 Plane Standard</t>
  </si>
  <si>
    <t>Corrected Aircrew Manning section to match current T&amp;R</t>
  </si>
  <si>
    <t>Legacy NTA Matricies</t>
  </si>
  <si>
    <t>Deleted Legacy NTA Mapping</t>
  </si>
  <si>
    <t>Updated all sim fidelity data</t>
  </si>
  <si>
    <t>Updated Mission Systems based on new MESM</t>
  </si>
  <si>
    <t>CVW (non-FDNF)</t>
  </si>
  <si>
    <t>Changed R+10 to Adanced Phase</t>
  </si>
  <si>
    <t>Updated T&amp;R Sim Fidelity and Aircrew Manning</t>
  </si>
  <si>
    <t>Updated to include FMC and Mission System values from ARC-N</t>
  </si>
  <si>
    <t>Updated 100% T&amp;R and Sim Fidelity</t>
  </si>
  <si>
    <t>Reserve CVW</t>
  </si>
  <si>
    <t>New Standard added to match T&amp;R</t>
  </si>
  <si>
    <t>Readiness Standards VAW EA-18G Test</t>
  </si>
  <si>
    <t>New Standards</t>
  </si>
  <si>
    <t>Readiness Standards VAQ EA-18G 5 Plane CVW</t>
  </si>
  <si>
    <t>Inventory</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</si>
  <si>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</si>
  <si>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</si>
  <si>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</si>
  <si>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</si>
  <si>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</si>
  <si>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</si>
  <si>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</si>
  <si>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</si>
  <si>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</si>
  <si>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</si>
  <si>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</si>
  <si>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</si>
  <si>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</si>
  <si>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</si>
  <si>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Standard1</t>
  </si>
  <si>
    <t>FRTP Mode</t>
  </si>
  <si>
    <t>Maintenance</t>
  </si>
  <si>
    <t>Basic</t>
  </si>
  <si>
    <t>Advanced</t>
  </si>
  <si>
    <t>Integrated</t>
  </si>
  <si>
    <t>Sustain</t>
  </si>
  <si>
    <t>Deploy</t>
  </si>
  <si>
    <t>Tactical Hard Deck</t>
  </si>
  <si>
    <t>VAQ PODs UEUs and Transmitters Gonculator</t>
  </si>
  <si>
    <t>R+Month</t>
  </si>
  <si>
    <t>R+1</t>
  </si>
  <si>
    <t>R+2</t>
  </si>
  <si>
    <t>R+3</t>
  </si>
  <si>
    <t>R+4</t>
  </si>
  <si>
    <t>R+5</t>
  </si>
  <si>
    <t>R+6</t>
  </si>
  <si>
    <t>R+7</t>
  </si>
  <si>
    <t>R+8</t>
  </si>
  <si>
    <t>R+9</t>
  </si>
  <si>
    <t>R+10</t>
  </si>
  <si>
    <t>R+11</t>
  </si>
  <si>
    <t>R+12</t>
  </si>
  <si>
    <t>R+13</t>
  </si>
  <si>
    <t>R+14</t>
  </si>
  <si>
    <t>R+15</t>
  </si>
  <si>
    <t>POM</t>
  </si>
  <si>
    <t>D+1</t>
  </si>
  <si>
    <t>D+2</t>
  </si>
  <si>
    <t>D+3</t>
  </si>
  <si>
    <t>D+4</t>
  </si>
  <si>
    <t>D+5</t>
  </si>
  <si>
    <t>D+6</t>
  </si>
  <si>
    <t>PDL</t>
  </si>
  <si>
    <t>R+24</t>
  </si>
  <si>
    <t>R+25</t>
  </si>
  <si>
    <t>R+26</t>
  </si>
  <si>
    <t>R+27</t>
  </si>
  <si>
    <t>R+28</t>
  </si>
  <si>
    <t>FRTP</t>
  </si>
  <si>
    <t>Mission</t>
  </si>
  <si>
    <t>ULT &amp; Depot Mx</t>
  </si>
  <si>
    <t>ARP to TSTA III</t>
  </si>
  <si>
    <t>C2X to FLN</t>
  </si>
  <si>
    <t xml:space="preserve">Sustain </t>
  </si>
  <si>
    <t>Deployment</t>
  </si>
  <si>
    <t>THD</t>
  </si>
  <si>
    <t>Training Resource Elements</t>
  </si>
  <si>
    <t>Enter Actual data in the yellow blocks</t>
  </si>
  <si>
    <t>Average Training Readiness (ATR) Standard</t>
  </si>
  <si>
    <t>% of T&amp;R Matrix</t>
  </si>
  <si>
    <t>Non-Integrated Mission Systems RFT Deficit Formula</t>
  </si>
  <si>
    <t>Flying Hours</t>
  </si>
  <si>
    <t>Choose a Month</t>
  </si>
  <si>
    <t>Training Sortie Standard</t>
  </si>
  <si>
    <t>Training Hours Standard</t>
  </si>
  <si>
    <t>MC Standard</t>
  </si>
  <si>
    <t>Ashore Support Hours Total</t>
  </si>
  <si>
    <t>ALQ-99 Pods per Aircraft</t>
  </si>
  <si>
    <t>Afloat Support Hours Total</t>
  </si>
  <si>
    <t>Racks formula:  The Maximum between (0 and the RFT/RBA Entitlement - Actual / Pods per Aircraft)</t>
  </si>
  <si>
    <t>Total Hours Standard</t>
  </si>
  <si>
    <t>POD and UEU formula: The Maximum between (0 and the RFT/RBA Entitlement - Actual / Pods per Aircraft)</t>
  </si>
  <si>
    <t>Simulator Contribution</t>
  </si>
  <si>
    <t>(Actual / Pods per Aircraft gives me the number of aircraft that are desired to be fitted with PODs/UEUs.)</t>
  </si>
  <si>
    <t>Allocated Flight Hours</t>
  </si>
  <si>
    <t>Flight Hour Execution Standard (90 Day Avg)</t>
  </si>
  <si>
    <t>Racks/PODs/UEU Deficit RFT Deficit Formula</t>
  </si>
  <si>
    <t>Deficit Component</t>
  </si>
  <si>
    <t>Simulator Hours</t>
  </si>
  <si>
    <t>Ready Pod ACFT Sets</t>
  </si>
  <si>
    <t>Ent:</t>
  </si>
  <si>
    <t>Simulator Support Hours</t>
  </si>
  <si>
    <t>Aircraft Standards</t>
  </si>
  <si>
    <t>Ready UEU ACFT Sets</t>
  </si>
  <si>
    <t>Flightline %</t>
  </si>
  <si>
    <t>MC %</t>
  </si>
  <si>
    <t>Ready On-Hand</t>
  </si>
  <si>
    <t>Entitled</t>
  </si>
  <si>
    <t>Max Deficit Component</t>
  </si>
  <si>
    <t>FMC %</t>
  </si>
  <si>
    <t>Totals:</t>
  </si>
  <si>
    <t>Flightline Standard</t>
  </si>
  <si>
    <t>(Transmitter Deficts / Transmitter Entitlments) * RBA Ent</t>
  </si>
  <si>
    <t>FMC Standard</t>
  </si>
  <si>
    <t>Integrated Mission Systems</t>
  </si>
  <si>
    <t>Transmitter Deficit RFT Deficit Fromula</t>
  </si>
  <si>
    <t>Ready EA-18G Advanced Threat Mission Systems (C)</t>
  </si>
  <si>
    <t>Low Band Ent:</t>
  </si>
  <si>
    <t>Ready EA-18G HARM Mission Systems (D)</t>
  </si>
  <si>
    <t>Ready EA-18G AMRAAM Mission Systems (E)</t>
  </si>
  <si>
    <t>Band 4 Ent:</t>
  </si>
  <si>
    <t>Ready EA-18G Ready Survivablity Mission System (F)</t>
  </si>
  <si>
    <t>Ready EA-18G Airborn Electronic Attack (AEA) System (G)</t>
  </si>
  <si>
    <t>Band 5/6 Ent:</t>
  </si>
  <si>
    <t>Ready EA-18G Air Refueling System (I)</t>
  </si>
  <si>
    <t>Ready EA-18G Ready Tactical Navigation Systems (J)</t>
  </si>
  <si>
    <t>Band 7 Ent:</t>
  </si>
  <si>
    <t>Ready EA-18G Shipboard Mission Systems (K)</t>
  </si>
  <si>
    <t>Ready EA-18G IMC Flight Mission Systems (L)</t>
  </si>
  <si>
    <t>Band 8 Ent:</t>
  </si>
  <si>
    <t>Non-Integrated Mission Systems</t>
  </si>
  <si>
    <t>Assigned Pod ACFT Sets</t>
  </si>
  <si>
    <t>Band 9/10 Ent:</t>
  </si>
  <si>
    <t>Assigned UEU ACFT Sets</t>
  </si>
  <si>
    <t>Sum Deficit Component</t>
  </si>
  <si>
    <t>Transmitter Sets</t>
  </si>
  <si>
    <t>Assigned Low Band Mission XMTR Sets</t>
  </si>
  <si>
    <t>Ready Low Band Mission XMTR Sets</t>
  </si>
  <si>
    <t>Assigned Band 4 XMTR Sets</t>
  </si>
  <si>
    <t>Ready Band 4 XMTR Sets</t>
  </si>
  <si>
    <t>Assigned Band 5/6 XMTR Sets</t>
  </si>
  <si>
    <t>Ready Band 5/6 XMTR Sets</t>
  </si>
  <si>
    <t>Assigned Band 7 XMTR Sets</t>
  </si>
  <si>
    <t>Ready Band 7 XMTR Sets</t>
  </si>
  <si>
    <t>Assigned Band 8 XMTR Sets</t>
  </si>
  <si>
    <t>Ready Band 8 XMTR Sets</t>
  </si>
  <si>
    <t>Assigned Band 9/10 XMTR Sets</t>
  </si>
  <si>
    <t>Ready Band 9/10 XMTR Sets</t>
  </si>
  <si>
    <t>Total Assigned XMTR Sets</t>
  </si>
  <si>
    <t>Total Ready XMTR Sets</t>
  </si>
  <si>
    <t>Aircrew Manning and Crews</t>
  </si>
  <si>
    <t>N/A</t>
  </si>
  <si>
    <t>JHMCS</t>
  </si>
  <si>
    <t>Squadron Manning</t>
  </si>
  <si>
    <t>Overall Rating Fill</t>
  </si>
  <si>
    <t>Overall Rating Fit</t>
  </si>
  <si>
    <t>Overall NEC Fit</t>
  </si>
  <si>
    <t>Notes:</t>
  </si>
  <si>
    <t>Assigned Racks Notes:</t>
  </si>
  <si>
    <t>1.  **  Every CVN needs 1 RFI ALE-43 Pod for Deployment</t>
  </si>
  <si>
    <t>SUU-78 Racks</t>
  </si>
  <si>
    <t>1 Per Aircraft</t>
  </si>
  <si>
    <t>SUU-79 C/A Racks</t>
  </si>
  <si>
    <t>4 Per Aircraft</t>
  </si>
  <si>
    <t>SUU-80 Racks</t>
  </si>
  <si>
    <t>2 Per Aircraft</t>
  </si>
  <si>
    <t>BRU-32 Racks</t>
  </si>
  <si>
    <t>7 Per Aircraft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</si>
  <si>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</si>
  <si>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</si>
  <si>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</si>
  <si>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</si>
  <si>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</si>
  <si>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</si>
  <si>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</si>
  <si>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</si>
  <si>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</si>
  <si>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</si>
  <si>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</si>
  <si>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Pilot Upper Limit</t>
  </si>
  <si>
    <t>Pilot Lower Limit</t>
  </si>
  <si>
    <t>NFO Upper Limit</t>
  </si>
  <si>
    <t>NFO Lower Limit</t>
  </si>
  <si>
    <t>ACTC Level 5</t>
  </si>
  <si>
    <t>&gt;= ACTC Level 4</t>
  </si>
  <si>
    <t>&gt;= ACTC Level 3</t>
  </si>
  <si>
    <t>&gt;= ACTC Level 2</t>
  </si>
  <si>
    <t>CVW STK Lead</t>
  </si>
  <si>
    <t>NVD Qualified Aircrew</t>
  </si>
  <si>
    <t>JHMCS Aircrew</t>
  </si>
  <si>
    <t>Required Skilled Crews</t>
  </si>
  <si>
    <t>Monthly Variable Hours Assignments</t>
  </si>
  <si>
    <t>Simulator Replacement Month</t>
  </si>
  <si>
    <t>X</t>
  </si>
  <si>
    <t>Afloat Support Hours Assignment</t>
  </si>
  <si>
    <t>Transmitter D+1 Values - Do Not Modify</t>
  </si>
  <si>
    <t>DRRS-N E-Pillar Break Points</t>
  </si>
  <si>
    <t>Green</t>
  </si>
  <si>
    <t>Yellow</t>
  </si>
  <si>
    <t>Red</t>
  </si>
  <si>
    <t>Aircraft</t>
  </si>
  <si>
    <t>Top</t>
  </si>
  <si>
    <t>In Reporting</t>
  </si>
  <si>
    <t>Mission Capable Aircraft (MC)</t>
  </si>
  <si>
    <t xml:space="preserve">Assigned Low Band Mission XMTR Sets </t>
  </si>
  <si>
    <t>FMC and Mission System Utilization Rates</t>
  </si>
  <si>
    <t>EA-18G 5PAA CVW v220921</t>
  </si>
  <si>
    <t>FMC % of MC</t>
  </si>
  <si>
    <t>Readiness Standards VAQ EA-18G 7 Plane CVW</t>
  </si>
  <si>
    <t>Racks/PODs/UEU Deficit RFT Deficit Fromula</t>
  </si>
  <si>
    <t>Ready Combat Threat Mission Systems (C)</t>
  </si>
  <si>
    <t>Ready HARM Mission Systems (D)</t>
  </si>
  <si>
    <t>Ready AMRAAM Mission Systems (E)</t>
  </si>
  <si>
    <t>Ready JTT-R Mission Systems (F)</t>
  </si>
  <si>
    <t>Ready Airborn Electronic Attack (AEA) System (G)</t>
  </si>
  <si>
    <t>Ready Air Refueling System (H)</t>
  </si>
  <si>
    <t>Ready Basic Mission (RBM) System (J)</t>
  </si>
  <si>
    <t>Ready Shipboard Mission Systems (K)</t>
  </si>
  <si>
    <t>Ready IMC Flight Mission Systems (L)</t>
  </si>
  <si>
    <t>EA-18G 7PAA CVW v220921</t>
  </si>
  <si>
    <t>Readiness Standards VAQ EA-18G 7 Plane FDNF</t>
  </si>
  <si>
    <t>(Total Transmitter Deficts / Total Transmitter Entitlments) * RBA Ent</t>
  </si>
  <si>
    <t>1.  **  FDNF needs 2 RFI ALE-43 Pods for Deployment</t>
  </si>
  <si>
    <t>Readiness Standards VAQ EA-18G 5 Plane EXPED</t>
  </si>
  <si>
    <t>R+23</t>
  </si>
  <si>
    <t>ARP</t>
  </si>
  <si>
    <t>LFE 1</t>
  </si>
  <si>
    <t>LFE 2</t>
  </si>
  <si>
    <t xml:space="preserve">GRF </t>
  </si>
  <si>
    <t>GRF</t>
  </si>
  <si>
    <t>1.  **  Each Squadron needs 1 RFI ALE-43 Pod for Deployment</t>
  </si>
  <si>
    <t>EA-18G 5PAA EXP v220921</t>
  </si>
  <si>
    <t>Readiness Standards VAQ EA-18G 6 Plane EXPED</t>
  </si>
  <si>
    <t>EA-18G 6PAA EXP v220921</t>
  </si>
  <si>
    <t>Readiness Standards VAQ EA-18G 5 Plane Reserve EXPED</t>
  </si>
  <si>
    <t>R+16</t>
  </si>
  <si>
    <t>R+17</t>
  </si>
  <si>
    <t>MX &amp; ULT</t>
  </si>
  <si>
    <t>ULT</t>
  </si>
  <si>
    <t>Det</t>
  </si>
  <si>
    <t>ARP &amp; LFE</t>
  </si>
  <si>
    <t>ACTC LEVEL &gt;= 4</t>
  </si>
  <si>
    <t>ACTC LEVEL &gt;= 3</t>
  </si>
  <si>
    <t>ACTC LEVEL &gt;= 2</t>
  </si>
  <si>
    <t>NVD QUALIFIED AIRCREW</t>
  </si>
  <si>
    <t>EA-18G 5PAA RESERVE EXP v220921</t>
  </si>
  <si>
    <t>Readiness Standards VAQ EA-18G 5 Plane Reserve CVW</t>
  </si>
  <si>
    <t>EA-18G 5PAA RESERVE CVW v220921</t>
  </si>
  <si>
    <t>Readiness Standards VAQ EA-18G FRS</t>
  </si>
  <si>
    <t>EA-18G</t>
  </si>
  <si>
    <t>VAQ-129 PAA</t>
  </si>
  <si>
    <t>FRS</t>
  </si>
  <si>
    <t>A-1</t>
  </si>
  <si>
    <t>NA</t>
  </si>
  <si>
    <t>VAQ-129</t>
  </si>
  <si>
    <t>Readiness Standards VAQ EA-18G Test</t>
  </si>
  <si>
    <t>PAA</t>
  </si>
  <si>
    <t>Unit</t>
  </si>
  <si>
    <t>NEA-18G</t>
  </si>
  <si>
    <t>VX-9</t>
  </si>
  <si>
    <t>VX-23</t>
  </si>
  <si>
    <t>VX-31</t>
  </si>
  <si>
    <t>Test</t>
  </si>
  <si>
    <t>A+1</t>
  </si>
  <si>
    <t>A+2</t>
  </si>
  <si>
    <t>TEST</t>
  </si>
  <si>
    <t>TMS</t>
  </si>
  <si>
    <t>E/A-18G VAQ TMS Reduced System to MET Matrix (CVW/FDNF)</t>
  </si>
  <si>
    <t>Mission Capable (MC)</t>
  </si>
  <si>
    <t>MISSION ESSENTIAL TASKS</t>
  </si>
  <si>
    <t>NTA 1.1.2.3.3</t>
  </si>
  <si>
    <t>Conduct Flight Operations</t>
  </si>
  <si>
    <t/>
  </si>
  <si>
    <t>NTA 2.2.3</t>
  </si>
  <si>
    <t>Perform Tactical Reconaissance and Surveillance</t>
  </si>
  <si>
    <t>NTA 3.1.7</t>
  </si>
  <si>
    <t>Employ Counter-Targeting</t>
  </si>
  <si>
    <t>NTA 3.2.1</t>
  </si>
  <si>
    <t>Attack Enemy Maritime Targets</t>
  </si>
  <si>
    <t>NTA 3.2.2</t>
  </si>
  <si>
    <t>Attack Enemy Land Targets</t>
  </si>
  <si>
    <t>NTA 3.2.4</t>
  </si>
  <si>
    <t>Suppress Enemy Air Defenses (SEAD)</t>
  </si>
  <si>
    <t>NTA 3.2.5</t>
  </si>
  <si>
    <t>Conduct Electronic Attack</t>
  </si>
  <si>
    <t>NTA 3.2.7</t>
  </si>
  <si>
    <t>Intercept, Engage and Neutralize Enemy Aircraft and Missiles (DCA)</t>
  </si>
  <si>
    <t>NTA 3.2.9</t>
  </si>
  <si>
    <t>Conduct Non-lethal Engagement</t>
  </si>
  <si>
    <t>NTA 5.5.4</t>
  </si>
  <si>
    <t>Conduct Electronic Warfare Support (ES)</t>
  </si>
  <si>
    <t>NTA 6.1.2.2</t>
  </si>
  <si>
    <t xml:space="preserve">Conduct Deception in Support of Tactical Operations </t>
  </si>
  <si>
    <t>E/A-18G VAQ TMS Reduced System to MET Matrix (EXPED)</t>
  </si>
  <si>
    <t>E/A-18G VAQ TMS Reduced System to MET Matrix (Reserve)</t>
  </si>
  <si>
    <t>EA-18G Mission System Utilization per Flight Task</t>
  </si>
  <si>
    <t>Tab Inventory</t>
  </si>
  <si>
    <t>Mission System Groups VAQ EA-18G</t>
  </si>
  <si>
    <t>** MESM:</t>
  </si>
  <si>
    <t>Integrated Aircraft Mission Systems Configuration</t>
  </si>
  <si>
    <t>COMMUNITY</t>
  </si>
  <si>
    <t>TMS AFFECTED</t>
  </si>
  <si>
    <t>Mission System Group</t>
  </si>
  <si>
    <t xml:space="preserve">COMPONENTS/SYSTEMS/ MESM CODES </t>
  </si>
  <si>
    <t>VAQ</t>
  </si>
  <si>
    <t xml:space="preserve">EA-18G (Combat Threat Systems) (Code C) </t>
  </si>
  <si>
    <t>DRY BAY FIRE SUPPRESSION SYSTEM (DBFSS)</t>
  </si>
  <si>
    <t>EA-18G (HARM Systems) (Code D)</t>
  </si>
  <si>
    <t>ACM (AWG-25) HARM</t>
  </si>
  <si>
    <t>CLC (CP-1001C) HARM</t>
  </si>
  <si>
    <t>EA-18G (AMRAAM Systems) (Code E)</t>
  </si>
  <si>
    <t>MISSILE ILLUMINATION GROUP</t>
  </si>
  <si>
    <t>LAU-116</t>
  </si>
  <si>
    <t>EA-18G (Survivablilty Systems) (Code F)</t>
  </si>
  <si>
    <t>CHAFF COUNTERMEASURES SET (ALE-47)</t>
  </si>
  <si>
    <t>IFF INTERROGATIONS (APX-111)</t>
  </si>
  <si>
    <t>JTT-R (JOINT TACTICAL TERMINAL-RECIEVER0; INCLUDES AS-4635/ALQ ANTENNA AND F-1686/A SIGNAL CONDITIONER</t>
  </si>
  <si>
    <t>THREAT WARNING LIGHT DISPLAY GROUP</t>
  </si>
  <si>
    <t>EA-18G (Electronic Attack Systems) (Code G)</t>
  </si>
  <si>
    <t>AN/ALQ-99 JAMMING SYSTEM (TJS) POD AND AIRCRAFT WIRING</t>
  </si>
  <si>
    <t>AN/ALQ-218(V)2 TACTICAL JAMMINS SYSTEM RECEIVER (TJSR)</t>
  </si>
  <si>
    <t>AN/ALQ-227 COMMUNICATIONS COUNTERMEASURES SET (CCS)</t>
  </si>
  <si>
    <t>CP-2640/ALQ COUNTERMEASURES CONTROL-PROCESSOR;ELECTRONIC ATTACK UNIT (EAU)</t>
  </si>
  <si>
    <t>CN-1717/A INTERFERENCE CANCELLATION SYSTEM (ICANS)</t>
  </si>
  <si>
    <t>EA-18G (Air Refuling Systems) (Code I)</t>
  </si>
  <si>
    <t>AIR REFUELING PROBE</t>
  </si>
  <si>
    <t>AIR REFULING PROBE FLOOD LIGHT</t>
  </si>
  <si>
    <t>EA-18G (Basic Mission Systems) (J)</t>
  </si>
  <si>
    <t>CENTERLINE PYLON</t>
  </si>
  <si>
    <t>COCKPIT VIDEO RECORDING SYSTEM (CVRS) / SOLID STATE RECORDER (SSR/USSR)</t>
  </si>
  <si>
    <t>DISTRIBUTED TARGETING SYSTEM</t>
  </si>
  <si>
    <t>DCS RECEIVER TRANSMITTER RT-1824C/ARC)/RT-1990A(C)/ARC (COMM 2)</t>
  </si>
  <si>
    <t>DIGITAL MAP / TAMMAC</t>
  </si>
  <si>
    <t>DDI</t>
  </si>
  <si>
    <t>GLOBAL POSITIONING SYSTEM (GPS)</t>
  </si>
  <si>
    <t>JOINT HELMET MOUNTED CUEING SYSTEM</t>
  </si>
  <si>
    <t>MPCD/AFT MPCD/8X10 SERIES</t>
  </si>
  <si>
    <t>MIDS</t>
  </si>
  <si>
    <t>NAVWAR</t>
  </si>
  <si>
    <t>NIGHT VISION LIGHTING</t>
  </si>
  <si>
    <t>RADAR LIQUID COOLING SYSTEM</t>
  </si>
  <si>
    <t>RADAR SET (APG-79)</t>
  </si>
  <si>
    <t>SECURED IFF (KIV-78) (MODE 4)</t>
  </si>
  <si>
    <t>SECURE VOICE (KY-58)</t>
  </si>
  <si>
    <t>SELECTIVE STORES JETTISON SYSTEM</t>
  </si>
  <si>
    <t>WEAPON RELEASE RACKS (BRU-32/A, A/A)</t>
  </si>
  <si>
    <t>WEAPON SYSTEM CONTROL FUNCTION (HOTAS)</t>
  </si>
  <si>
    <t>WING PYLONS (SUU-79/80)</t>
  </si>
  <si>
    <t>EA-18G (Shipboard Systems) (Code K)</t>
  </si>
  <si>
    <t>APPROACH POWER COMPENSATOR SYSTEM</t>
  </si>
  <si>
    <t>AOA INDEXER LIGHTS</t>
  </si>
  <si>
    <t>DATA LINK RECEIVER TRANSMITTER PROCESSOR (RT-1379/ASW)</t>
  </si>
  <si>
    <t>DAY ID LIGHT</t>
  </si>
  <si>
    <t>INSTRUMENT LANDING SYSTEM RECEIVER/DECODER (ARA-63)</t>
  </si>
  <si>
    <t>LAUNCH BAR AND CATAPULT SYSTEM</t>
  </si>
  <si>
    <t xml:space="preserve">RADAR BEACON (APN-202 OR APN-245) </t>
  </si>
  <si>
    <t>REDUCED AUTHORITY THROTTLE SYSTEM (RATS)</t>
  </si>
  <si>
    <t>WING FOLD</t>
  </si>
  <si>
    <t>EA-18G (IMC Mission Systems) (Code L)</t>
  </si>
  <si>
    <t>ALTIMETER, ELECTRONIC (RADALT)</t>
  </si>
  <si>
    <t>ENGINE ANTI-ICE SYSTEM</t>
  </si>
  <si>
    <t>EXTERIOR POSTION LIGHTS (POSTION AND FORMATION)</t>
  </si>
  <si>
    <t>IFF TRANSPONDER (APX-111)</t>
  </si>
  <si>
    <t>INSTRUMENT LANDING SYSTEM (CIVILIAN ILS) (ARN-154)</t>
  </si>
  <si>
    <t>INTERFERENCE BLANKER (EIBU/RFBU) (MX-1174/A), (MX-11741/A/A/)</t>
  </si>
  <si>
    <t>INTERIOR LIGHTING</t>
  </si>
  <si>
    <t>MAGNETIC COMPASS (AQU-3/A)</t>
  </si>
  <si>
    <t>PITOT/ANGLE OF ATTACK PROBE HEATER SYSTEM</t>
  </si>
  <si>
    <t>TACTICAL NAVIGATION SET/MULTI-FUNCTION INFORMATION DISPLAY SYSTEM</t>
  </si>
  <si>
    <t>TAXI LIGHT</t>
  </si>
  <si>
    <t>TAIL POSTION LIGHT</t>
  </si>
  <si>
    <t>UP FRONT CONTROL SERIES</t>
  </si>
  <si>
    <t>WINDSHIELD ANTI-ICE AND RAIN REMOVAL</t>
  </si>
  <si>
    <t>See Definitions Tab</t>
  </si>
  <si>
    <t>Non-Integrated Mission Systems (INVENTORY ITEMS)</t>
  </si>
  <si>
    <t>Mission Systems Tools Titles</t>
  </si>
  <si>
    <t>CONFIGURATIONS THAT APPLY</t>
  </si>
  <si>
    <t>** See the MESM for full details</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</si>
  <si>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</si>
  <si>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</si>
  <si>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</si>
  <si>
    <t xml:space="preserve">Standard </t>
  </si>
  <si>
    <t xml:space="preserve">StndStrt </t>
  </si>
  <si>
    <t xml:space="preserve">StndEnd </t>
  </si>
  <si>
    <t xml:space="preserve">PAA </t>
  </si>
  <si>
    <t xml:space="preserve">CREWS </t>
  </si>
  <si>
    <t xml:space="preserve">ESL </t>
  </si>
  <si>
    <t xml:space="preserve">100% T&amp;R Mtrx Hrs/Crew </t>
  </si>
  <si>
    <t xml:space="preserve">100% T&amp;R Mtrx Sorties/Crew </t>
  </si>
  <si>
    <t xml:space="preserve">100% Training Hrs </t>
  </si>
  <si>
    <t xml:space="preserve">100% Training Sorties </t>
  </si>
  <si>
    <t>Ashore Support Hours</t>
  </si>
  <si>
    <t>Afloat Support Hours</t>
  </si>
  <si>
    <t>ATR</t>
  </si>
  <si>
    <t>FH 90 Day Avg</t>
  </si>
  <si>
    <t>Surge Aircraft Standard</t>
  </si>
  <si>
    <t>RFT/RBA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</si>
</sst>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409]d\-mmm\-yy;@"/>
    <numFmt numFmtId="168" formatCode="0.0%"/>
    <numFmt numFmtId="169" formatCode="0.0000000000000000000"/>
  </numFmts>
  <fonts count="62" x14ac:knownFonts="1">
    <font>
      <sz val="10"/>
      <name val="Arial"/>
    </font>
    <font>
      <sz val="11"/>
      <color theme="1"/>
      <name val="Calibri"/>
      <family val="2"/>
      <scheme val="minor"/>
    </font>
    <font>
      <sz val="11"/>
      <color theme="1"/>
      <name val="Calibri"/>
      <family val="2"/>
    </font>
    <font>
      <sz val="10"/>
      <name val="Arial"/>
      <family val="2"/>
    </font>
    <font>
      <b/>
      <sz val="8"/>
      <color indexed="81"/>
      <name val="Tahoma"/>
      <family val="2"/>
    </font>
    <font>
      <sz val="8"/>
      <color indexed="81"/>
      <name val="Tahoma"/>
      <family val="2"/>
    </font>
    <font>
      <sz val="8"/>
      <name val="Arial"/>
      <family val="2"/>
    </font>
    <font>
      <b/>
      <sz val="14"/>
      <name val="Calibri"/>
      <family val="2"/>
      <scheme val="minor"/>
    </font>
    <font>
      <sz val="14"/>
      <name val="Calibri"/>
      <family val="2"/>
      <scheme val="minor"/>
    </font>
    <font>
      <sz val="8"/>
      <name val="Calibri"/>
      <family val="2"/>
      <scheme val="minor"/>
    </font>
    <font>
      <sz val="9"/>
      <name val="Calibri"/>
      <family val="2"/>
      <scheme val="minor"/>
    </font>
    <font>
      <b/>
      <i/>
      <sz val="10"/>
      <name val="Calibri"/>
      <family val="2"/>
      <scheme val="minor"/>
    </font>
    <font>
      <sz val="9"/>
      <color indexed="10"/>
      <name val="Calibri"/>
      <family val="2"/>
      <scheme val="minor"/>
    </font>
    <font>
      <b/>
      <sz val="9"/>
      <name val="Calibri"/>
      <family val="2"/>
      <scheme val="minor"/>
    </font>
    <font>
      <sz val="9"/>
      <color indexed="8"/>
      <name val="Calibri"/>
      <family val="2"/>
      <scheme val="minor"/>
    </font>
    <font>
      <b/>
      <i/>
      <sz val="9"/>
      <name val="Calibri"/>
      <family val="2"/>
      <scheme val="minor"/>
    </font>
    <font>
      <sz val="10"/>
      <name val="Calibri"/>
      <family val="2"/>
      <scheme val="minor"/>
    </font>
    <font>
      <b/>
      <i/>
      <sz val="11"/>
      <name val="Calibri"/>
      <family val="2"/>
      <scheme val="minor"/>
    </font>
    <font>
      <sz val="11"/>
      <name val="Calibri"/>
      <family val="2"/>
      <scheme val="minor"/>
    </font>
    <font>
      <sz val="12"/>
      <name val="Calibri"/>
      <family val="2"/>
      <scheme val="minor"/>
    </font>
    <font>
      <u/>
      <sz val="10"/>
      <color theme="10"/>
      <name val="Calibri"/>
      <family val="2"/>
      <scheme val="minor"/>
    </font>
    <font>
      <b/>
      <i/>
      <sz val="11"/>
      <color theme="1"/>
      <name val="Calibri"/>
      <family val="2"/>
      <scheme val="minor"/>
    </font>
    <font>
      <b/>
      <i/>
      <sz val="11"/>
      <color rgb="FF00CC00"/>
      <name val="Calibri"/>
      <family val="2"/>
      <scheme val="minor"/>
    </font>
    <font>
      <b/>
      <sz val="11"/>
      <name val="Calibri"/>
      <family val="2"/>
      <scheme val="minor"/>
    </font>
    <font>
      <sz val="20"/>
      <name val="Calibri"/>
      <family val="2"/>
      <scheme val="minor"/>
    </font>
    <font>
      <b/>
      <i/>
      <sz val="8"/>
      <name val="Calibri"/>
      <family val="2"/>
      <scheme val="minor"/>
    </font>
    <font>
      <b/>
      <sz val="8"/>
      <name val="Calibri"/>
      <family val="2"/>
      <scheme val="minor"/>
    </font>
    <font>
      <b/>
      <sz val="8"/>
      <color indexed="12"/>
      <name val="Calibri"/>
      <family val="2"/>
      <scheme val="minor"/>
    </font>
    <font>
      <sz val="11"/>
      <color indexed="8"/>
      <name val="Calibri"/>
      <family val="2"/>
    </font>
    <font>
      <sz val="10"/>
      <color indexed="8"/>
      <name val="Arial"/>
      <family val="2"/>
    </font>
    <font>
      <sz val="8"/>
      <color theme="0"/>
      <name val="Calibri"/>
      <family val="2"/>
      <scheme val="minor"/>
    </font>
    <font>
      <sz val="8"/>
      <name val="Calibri"/>
      <family val="2"/>
    </font>
    <font>
      <b/>
      <i/>
      <sz val="10"/>
      <name val="Calibri"/>
      <family val="2"/>
    </font>
    <font>
      <b/>
      <sz val="9"/>
      <name val="Calibri"/>
      <family val="2"/>
    </font>
    <font>
      <b/>
      <sz val="8"/>
      <color indexed="12"/>
      <name val="Calibri"/>
      <family val="2"/>
    </font>
    <font>
      <sz val="9"/>
      <color indexed="81"/>
      <name val="Tahoma"/>
      <family val="2"/>
    </font>
    <font>
      <b/>
      <sz val="9"/>
      <color indexed="81"/>
      <name val="Tahoma"/>
      <family val="2"/>
    </font>
    <font>
      <b/>
      <sz val="8"/>
      <name val="Arial"/>
      <family val="2"/>
    </font>
    <font>
      <b/>
      <sz val="12"/>
      <name val="Arial"/>
      <family val="2"/>
    </font>
    <font>
      <u/>
      <sz val="11"/>
      <color theme="10"/>
      <name val="Calibri"/>
      <family val="2"/>
    </font>
    <font>
      <u/>
      <sz val="10"/>
      <color theme="10"/>
      <name val="Calibri"/>
      <family val="2"/>
    </font>
    <font>
      <sz val="10"/>
      <name val="Arial"/>
      <family val="2"/>
    </font>
    <font>
      <b/>
      <sz val="10"/>
      <name val="Calibri"/>
      <family val="2"/>
      <scheme val="minor"/>
    </font>
    <font>
      <b/>
      <sz val="16"/>
      <name val="Calibri"/>
      <family val="2"/>
      <scheme val="minor"/>
    </font>
    <font>
      <b/>
      <sz val="12"/>
      <name val="Calibri"/>
      <family val="2"/>
      <scheme val="minor"/>
    </font>
    <font>
      <u/>
      <sz val="10"/>
      <color indexed="12"/>
      <name val="Arial"/>
      <family val="2"/>
    </font>
    <font>
      <u/>
      <sz val="10"/>
      <color theme="10"/>
      <name val="Arial"/>
      <family val="2"/>
    </font>
    <font>
      <sz val="11"/>
      <color theme="1"/>
      <name val="Calibri"/>
      <family val="2"/>
      <scheme val="minor"/>
    </font>
    <font>
      <b/>
      <sz val="10"/>
      <name val="Arial"/>
      <family val="2"/>
    </font>
    <font>
      <b/>
      <sz val="16"/>
      <name val="Arial"/>
      <family val="2"/>
    </font>
    <font>
      <b/>
      <sz val="8"/>
      <color rgb="FF000000"/>
      <name val="Tahoma"/>
      <family val="2"/>
    </font>
    <font>
      <sz val="8"/>
      <color rgb="FF000000"/>
      <name val="Tahoma"/>
      <family val="2"/>
    </font>
    <font>
      <b/>
      <sz val="9"/>
      <color rgb="FF000000"/>
      <name val="Tahoma"/>
      <family val="2"/>
    </font>
    <font>
      <sz val="9"/>
      <color rgb="FF000000"/>
      <name val="Tahoma"/>
      <family val="2"/>
    </font>
    <font>
      <b/>
      <sz val="8"/>
      <color indexed="55"/>
      <name val="Calibri"/>
      <family val="2"/>
      <scheme val="minor"/>
    </font>
    <font>
      <sz val="8"/>
      <color indexed="55"/>
      <name val="Calibri"/>
      <family val="2"/>
      <scheme val="minor"/>
    </font>
    <font>
      <u/>
      <sz val="11"/>
      <color theme="10"/>
      <name val="Calibri"/>
      <family val="2"/>
      <scheme val="minor"/>
    </font>
    <font>
      <b/>
      <sz val="12"/>
      <color theme="1"/>
      <name val="Calibri"/>
      <family val="2"/>
      <scheme val="minor"/>
    </font>
    <font>
      <sz val="10"/>
      <color rgb="FF0A0101"/>
      <name val="Calibri"/>
      <family val="2"/>
      <scheme val="minor"/>
    </font>
    <font>
      <u/>
      <sz val="9"/>
      <color theme="10"/>
      <name val="Calibri"/>
      <family val="2"/>
      <scheme val="minor"/>
    </font>
    <font>
      <b/>
      <sz val="10"/>
      <color indexed="8"/>
      <name val="Arial"/>
      <family val="2"/>
    </font>
    <font>
      <b/>
      <sz val="10"/>
      <color theme="1"/>
      <name val="Arial"/>
      <family val="2"/>
    </font>
  </fonts>
  <fills count="1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9" tint="0.59999389629810485"/>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double">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indexed="64"/>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1">
    <xf numFmtId="0" fontId="0" fillId="0" borderId="0"/>
    <xf numFmtId="43" fontId="3" fillId="0" borderId="0" applyFont="0" applyFill="0" applyBorder="0" applyAlignment="0" applyProtection="0"/>
    <xf numFmtId="0" fontId="3" fillId="0" borderId="0"/>
    <xf numFmtId="0" fontId="3" fillId="2" borderId="1">
      <alignment horizontal="center" textRotation="90"/>
    </xf>
    <xf numFmtId="0" fontId="3" fillId="0" borderId="0">
      <alignment textRotation="90"/>
    </xf>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0" fillId="0" borderId="0" applyNumberFormat="0" applyFill="0" applyBorder="0" applyAlignment="0" applyProtection="0">
      <alignment vertical="top"/>
      <protection locked="0"/>
    </xf>
    <xf numFmtId="0" fontId="29" fillId="0" borderId="0"/>
    <xf numFmtId="0" fontId="3" fillId="0" borderId="0"/>
    <xf numFmtId="0" fontId="3" fillId="0" borderId="0"/>
    <xf numFmtId="43" fontId="3" fillId="0" borderId="0" applyFont="0" applyFill="0" applyBorder="0" applyAlignment="0" applyProtection="0"/>
    <xf numFmtId="0" fontId="41" fillId="0" borderId="0"/>
    <xf numFmtId="0" fontId="2" fillId="0" borderId="0"/>
    <xf numFmtId="9" fontId="3" fillId="0" borderId="0" applyFont="0" applyFill="0" applyBorder="0" applyAlignment="0" applyProtection="0"/>
    <xf numFmtId="0" fontId="3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 fillId="0" borderId="0"/>
    <xf numFmtId="0" fontId="47" fillId="0" borderId="0"/>
    <xf numFmtId="0" fontId="46" fillId="0" borderId="0" applyNumberFormat="0" applyFill="0" applyBorder="0" applyAlignment="0" applyProtection="0">
      <alignment vertical="top"/>
      <protection locked="0"/>
    </xf>
    <xf numFmtId="0" fontId="47" fillId="0" borderId="0"/>
    <xf numFmtId="0" fontId="3" fillId="0" borderId="0"/>
    <xf numFmtId="0" fontId="1" fillId="0" borderId="0"/>
    <xf numFmtId="0" fontId="3" fillId="0" borderId="0"/>
  </cellStyleXfs>
  <cellXfs count="697">
    <xf numFmtId="0" fontId="0" fillId="0" borderId="0" xfId="0"/>
    <xf numFmtId="0" fontId="8" fillId="3" borderId="0" xfId="7" applyFont="1" applyFill="1" applyAlignment="1">
      <alignment horizontal="center"/>
    </xf>
    <xf numFmtId="164" fontId="9" fillId="3" borderId="0" xfId="7" applyNumberFormat="1" applyFont="1" applyFill="1"/>
    <xf numFmtId="0" fontId="9" fillId="3" borderId="0" xfId="7" applyFont="1" applyFill="1"/>
    <xf numFmtId="164" fontId="9" fillId="0" borderId="0" xfId="7" applyNumberFormat="1" applyFont="1" applyFill="1"/>
    <xf numFmtId="0" fontId="10" fillId="0" borderId="0" xfId="7" applyFont="1" applyFill="1" applyAlignment="1">
      <alignment horizontal="center"/>
    </xf>
    <xf numFmtId="0" fontId="10" fillId="0" borderId="0" xfId="7" applyFont="1" applyAlignment="1">
      <alignment horizontal="center"/>
    </xf>
    <xf numFmtId="0" fontId="10" fillId="0" borderId="0" xfId="7" applyFont="1"/>
    <xf numFmtId="0" fontId="10" fillId="0" borderId="2" xfId="7" applyFont="1" applyBorder="1" applyAlignment="1">
      <alignment horizontal="centerContinuous" vertical="center"/>
    </xf>
    <xf numFmtId="0" fontId="10" fillId="0" borderId="2" xfId="7" applyFont="1" applyBorder="1" applyAlignment="1">
      <alignment horizontal="center" vertical="center"/>
    </xf>
    <xf numFmtId="0" fontId="10" fillId="0" borderId="0" xfId="7" applyFont="1" applyFill="1" applyAlignment="1">
      <alignment horizontal="right"/>
    </xf>
    <xf numFmtId="0" fontId="10" fillId="0" borderId="0" xfId="7" applyFont="1" applyFill="1"/>
    <xf numFmtId="0" fontId="10" fillId="0" borderId="7" xfId="7" applyFont="1" applyFill="1" applyBorder="1"/>
    <xf numFmtId="165" fontId="10" fillId="0" borderId="3" xfId="1" applyNumberFormat="1" applyFont="1" applyFill="1" applyBorder="1" applyAlignment="1">
      <alignment horizontal="center"/>
    </xf>
    <xf numFmtId="164" fontId="12" fillId="0" borderId="2" xfId="7" applyNumberFormat="1" applyFont="1" applyFill="1" applyBorder="1" applyAlignment="1">
      <alignment horizontal="center"/>
    </xf>
    <xf numFmtId="0" fontId="10" fillId="0" borderId="0" xfId="6" applyFont="1" applyFill="1" applyBorder="1"/>
    <xf numFmtId="0" fontId="14" fillId="0" borderId="2" xfId="7" applyFont="1" applyBorder="1" applyAlignment="1">
      <alignment horizontal="center"/>
    </xf>
    <xf numFmtId="1" fontId="14" fillId="0" borderId="3" xfId="7" applyNumberFormat="1" applyFont="1" applyBorder="1" applyAlignment="1">
      <alignment horizontal="center"/>
    </xf>
    <xf numFmtId="0" fontId="10" fillId="3" borderId="0" xfId="7" applyFont="1" applyFill="1"/>
    <xf numFmtId="0" fontId="10" fillId="0" borderId="5" xfId="7" applyFont="1" applyBorder="1"/>
    <xf numFmtId="0" fontId="10" fillId="0" borderId="0" xfId="7" applyFont="1" applyFill="1" applyBorder="1"/>
    <xf numFmtId="0" fontId="10" fillId="6" borderId="12" xfId="7" applyFont="1" applyFill="1" applyBorder="1"/>
    <xf numFmtId="1" fontId="14" fillId="6" borderId="13" xfId="7" applyNumberFormat="1" applyFont="1" applyFill="1" applyBorder="1" applyAlignment="1">
      <alignment horizontal="center"/>
    </xf>
    <xf numFmtId="0" fontId="10" fillId="0" borderId="0" xfId="6" applyFont="1" applyFill="1" applyBorder="1" applyAlignment="1"/>
    <xf numFmtId="1" fontId="14" fillId="0" borderId="0" xfId="6" applyNumberFormat="1" applyFont="1" applyFill="1" applyBorder="1" applyAlignment="1"/>
    <xf numFmtId="0" fontId="14" fillId="0" borderId="0" xfId="6" applyFont="1" applyFill="1" applyBorder="1" applyAlignment="1"/>
    <xf numFmtId="0" fontId="7" fillId="3" borderId="0" xfId="6" applyFont="1" applyFill="1" applyBorder="1" applyAlignment="1"/>
    <xf numFmtId="0" fontId="9" fillId="3" borderId="0" xfId="0" applyFont="1" applyFill="1" applyAlignment="1">
      <alignment horizontal="right"/>
    </xf>
    <xf numFmtId="1" fontId="9" fillId="0" borderId="0" xfId="0" applyNumberFormat="1" applyFont="1" applyFill="1"/>
    <xf numFmtId="164" fontId="9" fillId="0" borderId="0" xfId="0" applyNumberFormat="1" applyFont="1" applyFill="1"/>
    <xf numFmtId="164" fontId="9" fillId="3" borderId="0" xfId="0" applyNumberFormat="1" applyFont="1" applyFill="1"/>
    <xf numFmtId="2" fontId="9" fillId="0" borderId="0" xfId="0" applyNumberFormat="1" applyFont="1" applyFill="1"/>
    <xf numFmtId="164" fontId="9" fillId="0" borderId="0" xfId="0" quotePrefix="1" applyNumberFormat="1" applyFont="1" applyFill="1"/>
    <xf numFmtId="0" fontId="9" fillId="3" borderId="0" xfId="0" quotePrefix="1" applyFont="1" applyFill="1" applyAlignment="1">
      <alignment horizontal="right"/>
    </xf>
    <xf numFmtId="0" fontId="9" fillId="0" borderId="0" xfId="0" applyFont="1" applyFill="1"/>
    <xf numFmtId="0" fontId="9" fillId="3" borderId="0" xfId="0" applyFont="1" applyFill="1"/>
    <xf numFmtId="2" fontId="10" fillId="0" borderId="2" xfId="0" applyNumberFormat="1" applyFont="1" applyFill="1" applyBorder="1" applyAlignment="1">
      <alignment horizontal="center"/>
    </xf>
    <xf numFmtId="0" fontId="10" fillId="0" borderId="0" xfId="0" applyFont="1" applyFill="1"/>
    <xf numFmtId="0" fontId="10" fillId="0" borderId="3" xfId="0" applyFont="1" applyFill="1" applyBorder="1" applyAlignment="1">
      <alignment horizontal="left"/>
    </xf>
    <xf numFmtId="164" fontId="9" fillId="0" borderId="0" xfId="6" applyNumberFormat="1" applyFont="1" applyFill="1"/>
    <xf numFmtId="0" fontId="9" fillId="0" borderId="0" xfId="6" applyFont="1" applyFill="1" applyAlignment="1">
      <alignment horizontal="right"/>
    </xf>
    <xf numFmtId="0" fontId="9" fillId="0" borderId="0" xfId="6" applyFont="1" applyFill="1"/>
    <xf numFmtId="0" fontId="10" fillId="0" borderId="0" xfId="7" applyFont="1" applyBorder="1"/>
    <xf numFmtId="0" fontId="9" fillId="0" borderId="0" xfId="0" applyFont="1" applyFill="1" applyAlignment="1">
      <alignment horizontal="right"/>
    </xf>
    <xf numFmtId="0" fontId="9" fillId="0" borderId="0" xfId="0" applyNumberFormat="1" applyFont="1" applyFill="1" applyAlignment="1"/>
    <xf numFmtId="0" fontId="9" fillId="0" borderId="0" xfId="0" quotePrefix="1" applyFont="1" applyFill="1" applyAlignment="1">
      <alignment horizontal="right"/>
    </xf>
    <xf numFmtId="0" fontId="7" fillId="0" borderId="0" xfId="0" applyFont="1" applyAlignment="1"/>
    <xf numFmtId="0" fontId="10" fillId="6" borderId="20" xfId="7" applyFont="1" applyFill="1" applyBorder="1" applyAlignment="1">
      <alignment horizontal="right"/>
    </xf>
    <xf numFmtId="0" fontId="10" fillId="6" borderId="15" xfId="7" applyFont="1" applyFill="1" applyBorder="1" applyAlignment="1">
      <alignment horizontal="center"/>
    </xf>
    <xf numFmtId="0" fontId="10" fillId="6" borderId="21" xfId="7" applyFont="1" applyFill="1" applyBorder="1" applyAlignment="1">
      <alignment horizontal="center"/>
    </xf>
    <xf numFmtId="9" fontId="10" fillId="0" borderId="5" xfId="5" applyFont="1" applyFill="1" applyBorder="1" applyAlignment="1">
      <alignment horizontal="center"/>
    </xf>
    <xf numFmtId="165" fontId="10" fillId="0" borderId="5" xfId="1" applyNumberFormat="1" applyFont="1" applyFill="1" applyBorder="1" applyAlignment="1">
      <alignment horizontal="center"/>
    </xf>
    <xf numFmtId="0" fontId="15" fillId="6" borderId="12" xfId="7" applyFont="1" applyFill="1" applyBorder="1" applyAlignment="1">
      <alignment horizontal="right"/>
    </xf>
    <xf numFmtId="2" fontId="10" fillId="6" borderId="3" xfId="7" applyNumberFormat="1" applyFont="1" applyFill="1" applyBorder="1" applyAlignment="1">
      <alignment horizontal="center"/>
    </xf>
    <xf numFmtId="2" fontId="10" fillId="6" borderId="7" xfId="7" applyNumberFormat="1" applyFont="1" applyFill="1" applyBorder="1" applyAlignment="1">
      <alignment horizontal="center"/>
    </xf>
    <xf numFmtId="2" fontId="10" fillId="6" borderId="21" xfId="7" applyNumberFormat="1" applyFont="1" applyFill="1" applyBorder="1" applyAlignment="1">
      <alignment horizontal="center"/>
    </xf>
    <xf numFmtId="164" fontId="9" fillId="3" borderId="0" xfId="7" applyNumberFormat="1" applyFont="1" applyFill="1" applyAlignment="1">
      <alignment horizontal="right"/>
    </xf>
    <xf numFmtId="168" fontId="9" fillId="3" borderId="0" xfId="9" applyNumberFormat="1" applyFont="1" applyFill="1" applyAlignment="1">
      <alignment horizontal="center"/>
    </xf>
    <xf numFmtId="164" fontId="9" fillId="3" borderId="0" xfId="9" applyNumberFormat="1" applyFont="1" applyFill="1" applyAlignment="1">
      <alignment horizontal="right"/>
    </xf>
    <xf numFmtId="169" fontId="9" fillId="3" borderId="0" xfId="7" applyNumberFormat="1" applyFont="1" applyFill="1"/>
    <xf numFmtId="2" fontId="10" fillId="6" borderId="13" xfId="7" applyNumberFormat="1" applyFont="1" applyFill="1" applyBorder="1" applyAlignment="1">
      <alignment horizontal="center"/>
    </xf>
    <xf numFmtId="0" fontId="10" fillId="0" borderId="0" xfId="7" applyFont="1" applyFill="1" applyBorder="1" applyAlignment="1">
      <alignment horizontal="center"/>
    </xf>
    <xf numFmtId="0" fontId="14" fillId="0" borderId="7" xfId="7" applyFont="1" applyBorder="1" applyAlignment="1">
      <alignment horizontal="center"/>
    </xf>
    <xf numFmtId="0" fontId="14" fillId="0" borderId="8" xfId="7" applyFont="1" applyBorder="1" applyAlignment="1">
      <alignment horizontal="center"/>
    </xf>
    <xf numFmtId="0" fontId="13" fillId="0" borderId="2" xfId="0" applyNumberFormat="1" applyFont="1" applyFill="1" applyBorder="1" applyAlignment="1">
      <alignment horizontal="center"/>
    </xf>
    <xf numFmtId="0" fontId="10" fillId="0" borderId="3" xfId="0" applyNumberFormat="1" applyFont="1" applyFill="1" applyBorder="1" applyAlignment="1">
      <alignment horizontal="center"/>
    </xf>
    <xf numFmtId="0" fontId="10" fillId="0" borderId="4" xfId="0" applyNumberFormat="1" applyFont="1" applyFill="1" applyBorder="1" applyAlignment="1">
      <alignment horizontal="center"/>
    </xf>
    <xf numFmtId="0" fontId="10" fillId="0" borderId="2" xfId="0" applyNumberFormat="1" applyFont="1" applyFill="1" applyBorder="1" applyAlignment="1">
      <alignment horizontal="center"/>
    </xf>
    <xf numFmtId="0" fontId="10" fillId="0" borderId="2" xfId="0" applyNumberFormat="1" applyFont="1" applyFill="1" applyBorder="1"/>
    <xf numFmtId="0" fontId="10" fillId="0" borderId="15" xfId="0" applyNumberFormat="1" applyFont="1" applyFill="1" applyBorder="1" applyAlignment="1">
      <alignment horizontal="center"/>
    </xf>
    <xf numFmtId="0" fontId="10" fillId="4" borderId="10" xfId="0" applyFont="1" applyFill="1" applyBorder="1" applyAlignment="1">
      <alignment horizontal="left"/>
    </xf>
    <xf numFmtId="0" fontId="10" fillId="4" borderId="11" xfId="0" applyFont="1" applyFill="1" applyBorder="1" applyAlignment="1">
      <alignment horizontal="left"/>
    </xf>
    <xf numFmtId="0" fontId="16" fillId="0" borderId="0" xfId="0" applyFont="1"/>
    <xf numFmtId="0" fontId="18" fillId="0" borderId="0" xfId="0" applyFont="1"/>
    <xf numFmtId="0" fontId="19" fillId="0" borderId="0" xfId="0" applyFont="1"/>
    <xf numFmtId="0" fontId="21" fillId="0" borderId="0" xfId="0" applyFont="1"/>
    <xf numFmtId="0" fontId="22" fillId="0" borderId="0" xfId="6" applyFont="1"/>
    <xf numFmtId="0" fontId="23" fillId="0" borderId="0" xfId="0" applyFont="1" applyAlignment="1">
      <alignment horizontal="center" vertical="center"/>
    </xf>
    <xf numFmtId="0" fontId="23" fillId="0" borderId="0" xfId="0" applyFont="1" applyAlignment="1">
      <alignment horizontal="center"/>
    </xf>
    <xf numFmtId="0" fontId="18" fillId="0" borderId="0" xfId="0" applyFont="1" applyAlignment="1">
      <alignment horizontal="center" vertical="center"/>
    </xf>
    <xf numFmtId="0" fontId="20" fillId="3" borderId="0" xfId="13" applyFont="1" applyFill="1" applyAlignment="1" applyProtection="1">
      <alignment horizontal="left"/>
    </xf>
    <xf numFmtId="165" fontId="10" fillId="0" borderId="7" xfId="1" applyNumberFormat="1" applyFont="1" applyFill="1" applyBorder="1" applyAlignment="1">
      <alignment horizontal="center"/>
    </xf>
    <xf numFmtId="0" fontId="20" fillId="3" borderId="0" xfId="13" applyFont="1" applyFill="1" applyAlignment="1" applyProtection="1">
      <alignment horizontal="center"/>
    </xf>
    <xf numFmtId="167" fontId="7" fillId="0" borderId="0" xfId="7" applyNumberFormat="1" applyFont="1" applyFill="1" applyBorder="1" applyAlignment="1" applyProtection="1">
      <protection locked="0"/>
    </xf>
    <xf numFmtId="0" fontId="16" fillId="3" borderId="0" xfId="6" applyFont="1" applyFill="1"/>
    <xf numFmtId="0" fontId="16" fillId="0" borderId="0" xfId="6" applyFont="1"/>
    <xf numFmtId="0" fontId="9" fillId="0" borderId="0" xfId="6" applyFont="1"/>
    <xf numFmtId="0" fontId="9" fillId="0" borderId="0" xfId="0" applyFont="1"/>
    <xf numFmtId="0" fontId="24" fillId="0" borderId="0" xfId="0" applyFont="1" applyBorder="1" applyAlignment="1">
      <alignment horizontal="left"/>
    </xf>
    <xf numFmtId="0" fontId="9" fillId="0" borderId="0" xfId="0" applyFont="1" applyBorder="1" applyAlignment="1">
      <alignment horizontal="center" textRotation="90"/>
    </xf>
    <xf numFmtId="0" fontId="9" fillId="0" borderId="0" xfId="6" applyFont="1" applyBorder="1" applyAlignment="1">
      <alignment horizontal="left"/>
    </xf>
    <xf numFmtId="0" fontId="9" fillId="0" borderId="0" xfId="0" applyFont="1" applyBorder="1" applyAlignment="1">
      <alignment horizontal="center"/>
    </xf>
    <xf numFmtId="0" fontId="9" fillId="0" borderId="0" xfId="6" applyFont="1" applyFill="1" applyBorder="1" applyAlignment="1">
      <alignment horizontal="left"/>
    </xf>
    <xf numFmtId="2" fontId="9" fillId="0" borderId="0" xfId="0" applyNumberFormat="1" applyFont="1" applyFill="1" applyBorder="1"/>
    <xf numFmtId="0" fontId="9" fillId="0" borderId="0" xfId="0" applyFont="1" applyFill="1" applyBorder="1" applyAlignment="1">
      <alignment horizontal="center"/>
    </xf>
    <xf numFmtId="2" fontId="9" fillId="0" borderId="0" xfId="0" applyNumberFormat="1" applyFont="1" applyFill="1" applyBorder="1" applyAlignment="1">
      <alignment horizontal="center"/>
    </xf>
    <xf numFmtId="0" fontId="9" fillId="0" borderId="0" xfId="0" applyFont="1" applyBorder="1" applyAlignment="1"/>
    <xf numFmtId="0" fontId="11" fillId="0" borderId="14" xfId="7" applyFont="1" applyFill="1" applyBorder="1"/>
    <xf numFmtId="0" fontId="9" fillId="0" borderId="0" xfId="0" applyFont="1" applyFill="1" applyBorder="1" applyAlignment="1">
      <alignment horizontal="centerContinuous"/>
    </xf>
    <xf numFmtId="0" fontId="9" fillId="0" borderId="0" xfId="7" applyFont="1"/>
    <xf numFmtId="0" fontId="9" fillId="0" borderId="0" xfId="0" applyFont="1" applyFill="1" applyBorder="1" applyAlignment="1"/>
    <xf numFmtId="9" fontId="9" fillId="0" borderId="0" xfId="5" applyFont="1" applyFill="1" applyBorder="1" applyAlignment="1">
      <alignment horizontal="center"/>
    </xf>
    <xf numFmtId="9" fontId="9" fillId="0" borderId="0" xfId="5" applyFont="1" applyFill="1" applyBorder="1" applyAlignment="1"/>
    <xf numFmtId="166" fontId="9" fillId="0" borderId="0" xfId="1" applyNumberFormat="1" applyFont="1" applyFill="1" applyBorder="1" applyAlignment="1"/>
    <xf numFmtId="0" fontId="9" fillId="0" borderId="0" xfId="0" applyFont="1" applyAlignment="1">
      <alignment horizontal="right"/>
    </xf>
    <xf numFmtId="165" fontId="9" fillId="0" borderId="0" xfId="1" applyNumberFormat="1" applyFont="1" applyFill="1" applyBorder="1" applyAlignment="1"/>
    <xf numFmtId="0" fontId="9" fillId="0" borderId="0" xfId="0" quotePrefix="1" applyFont="1" applyFill="1"/>
    <xf numFmtId="0" fontId="9" fillId="0" borderId="0" xfId="0" applyFont="1" applyFill="1" applyBorder="1" applyAlignment="1">
      <alignment horizontal="right"/>
    </xf>
    <xf numFmtId="0" fontId="9" fillId="5" borderId="3" xfId="0" applyFont="1" applyFill="1" applyBorder="1" applyAlignment="1">
      <alignment horizontal="center"/>
    </xf>
    <xf numFmtId="0" fontId="9" fillId="0" borderId="0" xfId="0" applyFont="1" applyFill="1" applyBorder="1"/>
    <xf numFmtId="164" fontId="9" fillId="0" borderId="0" xfId="0" applyNumberFormat="1" applyFont="1" applyFill="1" applyBorder="1" applyAlignment="1">
      <alignment horizontal="center"/>
    </xf>
    <xf numFmtId="0" fontId="16" fillId="0" borderId="0" xfId="0" applyFont="1" applyFill="1"/>
    <xf numFmtId="0" fontId="26" fillId="0" borderId="0" xfId="0" applyFont="1" applyBorder="1" applyAlignment="1">
      <alignment horizontal="left"/>
    </xf>
    <xf numFmtId="0" fontId="26" fillId="0" borderId="0" xfId="0" applyFont="1" applyBorder="1"/>
    <xf numFmtId="0" fontId="9" fillId="0" borderId="0" xfId="2" applyFont="1" applyFill="1" applyBorder="1" applyAlignment="1">
      <alignment horizontal="center"/>
    </xf>
    <xf numFmtId="0" fontId="26" fillId="0" borderId="0" xfId="0" applyFont="1" applyFill="1" applyBorder="1"/>
    <xf numFmtId="0" fontId="9" fillId="0" borderId="0" xfId="0" applyFont="1" applyBorder="1"/>
    <xf numFmtId="0" fontId="9" fillId="0" borderId="0" xfId="2" applyFont="1" applyFill="1" applyBorder="1" applyAlignment="1">
      <alignment horizontal="left"/>
    </xf>
    <xf numFmtId="0" fontId="9" fillId="0" borderId="0" xfId="2" applyFont="1" applyFill="1" applyBorder="1" applyAlignment="1"/>
    <xf numFmtId="0" fontId="9" fillId="0" borderId="0" xfId="0" applyFont="1" applyAlignment="1"/>
    <xf numFmtId="0" fontId="9" fillId="0" borderId="0" xfId="0" applyFont="1" applyBorder="1" applyAlignment="1">
      <alignment horizontal="left"/>
    </xf>
    <xf numFmtId="0" fontId="16" fillId="0" borderId="0" xfId="6" applyFont="1" applyFill="1"/>
    <xf numFmtId="0" fontId="9" fillId="0" borderId="0" xfId="7" applyFont="1" applyFill="1"/>
    <xf numFmtId="0" fontId="9" fillId="6" borderId="12" xfId="7" applyFont="1" applyFill="1" applyBorder="1" applyAlignment="1">
      <alignment horizontal="right"/>
    </xf>
    <xf numFmtId="2" fontId="27" fillId="6" borderId="13" xfId="7" applyNumberFormat="1" applyFont="1" applyFill="1" applyBorder="1" applyAlignment="1">
      <alignment horizontal="right"/>
    </xf>
    <xf numFmtId="0" fontId="9" fillId="0" borderId="0" xfId="7" applyFont="1" applyFill="1" applyBorder="1"/>
    <xf numFmtId="0" fontId="10" fillId="0" borderId="0" xfId="6" applyFont="1" applyFill="1" applyBorder="1" applyAlignment="1">
      <alignment horizontal="right"/>
    </xf>
    <xf numFmtId="0" fontId="9" fillId="0" borderId="0" xfId="7" applyFont="1" applyBorder="1"/>
    <xf numFmtId="0" fontId="16" fillId="0" borderId="0" xfId="6" applyFont="1" applyFill="1" applyBorder="1"/>
    <xf numFmtId="0" fontId="25" fillId="0" borderId="0" xfId="7" applyFont="1" applyFill="1" applyBorder="1"/>
    <xf numFmtId="0" fontId="25" fillId="0" borderId="0" xfId="7" applyFont="1" applyFill="1"/>
    <xf numFmtId="0" fontId="16" fillId="0" borderId="0" xfId="0" applyFont="1" applyFill="1" applyAlignment="1">
      <alignment horizontal="left"/>
    </xf>
    <xf numFmtId="0" fontId="7" fillId="0" borderId="0" xfId="0" applyFont="1" applyAlignment="1">
      <alignment horizontal="right"/>
    </xf>
    <xf numFmtId="0" fontId="3" fillId="0" borderId="0" xfId="0" applyFont="1"/>
    <xf numFmtId="0" fontId="8" fillId="3" borderId="0" xfId="7" applyFont="1" applyFill="1" applyAlignment="1">
      <alignment horizontal="left"/>
    </xf>
    <xf numFmtId="0" fontId="30" fillId="0" borderId="0" xfId="0" applyFont="1" applyFill="1" applyAlignment="1">
      <alignment horizontal="right"/>
    </xf>
    <xf numFmtId="2" fontId="0" fillId="0" borderId="0" xfId="0" applyNumberFormat="1"/>
    <xf numFmtId="1" fontId="0" fillId="0" borderId="0" xfId="0" applyNumberFormat="1"/>
    <xf numFmtId="0" fontId="3" fillId="8" borderId="0" xfId="0" applyFont="1" applyFill="1"/>
    <xf numFmtId="0" fontId="0" fillId="8" borderId="0" xfId="0" applyFill="1"/>
    <xf numFmtId="2" fontId="0" fillId="8" borderId="0" xfId="0" applyNumberFormat="1" applyFill="1"/>
    <xf numFmtId="1" fontId="0" fillId="8" borderId="0" xfId="0" applyNumberFormat="1" applyFill="1"/>
    <xf numFmtId="2" fontId="10" fillId="0" borderId="3" xfId="0" applyNumberFormat="1" applyFont="1" applyFill="1" applyBorder="1" applyAlignment="1">
      <alignment horizontal="center"/>
    </xf>
    <xf numFmtId="0" fontId="18" fillId="0" borderId="0" xfId="0" applyFont="1" applyAlignment="1">
      <alignment vertical="center"/>
    </xf>
    <xf numFmtId="0" fontId="15" fillId="6" borderId="10" xfId="7" applyFont="1" applyFill="1" applyBorder="1" applyAlignment="1">
      <alignment horizontal="right"/>
    </xf>
    <xf numFmtId="2" fontId="13" fillId="6" borderId="24" xfId="7" applyNumberFormat="1" applyFont="1" applyFill="1" applyBorder="1" applyAlignment="1">
      <alignment horizontal="center"/>
    </xf>
    <xf numFmtId="2" fontId="13" fillId="6" borderId="25" xfId="7" applyNumberFormat="1" applyFont="1" applyFill="1" applyBorder="1" applyAlignment="1">
      <alignment horizontal="center"/>
    </xf>
    <xf numFmtId="2" fontId="13" fillId="6" borderId="11" xfId="7" applyNumberFormat="1" applyFont="1" applyFill="1" applyBorder="1" applyAlignment="1">
      <alignment horizontal="center"/>
    </xf>
    <xf numFmtId="165" fontId="10" fillId="0" borderId="8" xfId="1" applyNumberFormat="1" applyFont="1" applyFill="1" applyBorder="1" applyAlignment="1">
      <alignment horizontal="center"/>
    </xf>
    <xf numFmtId="0" fontId="9" fillId="3" borderId="0" xfId="7" applyFont="1" applyFill="1" applyAlignment="1">
      <alignment horizontal="right"/>
    </xf>
    <xf numFmtId="9" fontId="9" fillId="0" borderId="0" xfId="7" applyNumberFormat="1" applyFont="1" applyFill="1"/>
    <xf numFmtId="0" fontId="13" fillId="0" borderId="7" xfId="7" applyFont="1" applyFill="1" applyBorder="1"/>
    <xf numFmtId="1" fontId="10" fillId="0" borderId="3" xfId="1" applyNumberFormat="1" applyFont="1" applyFill="1" applyBorder="1" applyAlignment="1">
      <alignment horizontal="center"/>
    </xf>
    <xf numFmtId="9" fontId="10" fillId="0" borderId="2" xfId="5" applyFont="1" applyFill="1" applyBorder="1" applyAlignment="1">
      <alignment horizontal="center"/>
    </xf>
    <xf numFmtId="0" fontId="14" fillId="0" borderId="26" xfId="7" applyFont="1" applyBorder="1" applyAlignment="1">
      <alignment horizontal="center"/>
    </xf>
    <xf numFmtId="9" fontId="9" fillId="0" borderId="2" xfId="5" applyFont="1" applyFill="1" applyBorder="1" applyAlignment="1">
      <alignment horizontal="center"/>
    </xf>
    <xf numFmtId="165" fontId="10" fillId="0" borderId="2" xfId="1" applyNumberFormat="1" applyFont="1" applyFill="1" applyBorder="1" applyAlignment="1">
      <alignment horizontal="center"/>
    </xf>
    <xf numFmtId="0" fontId="10" fillId="0" borderId="0" xfId="6" applyFont="1" applyFill="1" applyBorder="1" applyAlignment="1">
      <alignment horizontal="left"/>
    </xf>
    <xf numFmtId="0" fontId="10" fillId="0" borderId="0" xfId="7" applyFont="1" applyAlignment="1">
      <alignment horizontal="left"/>
    </xf>
    <xf numFmtId="0" fontId="10" fillId="6" borderId="27" xfId="7" applyFont="1" applyFill="1" applyBorder="1"/>
    <xf numFmtId="0" fontId="23" fillId="0" borderId="0" xfId="0" applyFont="1" applyAlignment="1">
      <alignment horizontal="center" wrapText="1"/>
    </xf>
    <xf numFmtId="0" fontId="18" fillId="0" borderId="0" xfId="0" applyFont="1" applyAlignment="1">
      <alignment wrapText="1"/>
    </xf>
    <xf numFmtId="2" fontId="33" fillId="6" borderId="24" xfId="7" applyNumberFormat="1" applyFont="1" applyFill="1" applyBorder="1" applyAlignment="1">
      <alignment horizontal="center"/>
    </xf>
    <xf numFmtId="2" fontId="33" fillId="6" borderId="11" xfId="7" applyNumberFormat="1" applyFont="1" applyFill="1" applyBorder="1" applyAlignment="1">
      <alignment horizontal="center"/>
    </xf>
    <xf numFmtId="0" fontId="31" fillId="6" borderId="12" xfId="7" applyFont="1" applyFill="1" applyBorder="1" applyAlignment="1">
      <alignment horizontal="right"/>
    </xf>
    <xf numFmtId="2" fontId="34" fillId="6" borderId="13" xfId="7" applyNumberFormat="1" applyFont="1" applyFill="1" applyBorder="1" applyAlignment="1">
      <alignment horizontal="right"/>
    </xf>
    <xf numFmtId="0" fontId="7" fillId="0" borderId="0" xfId="6" applyFont="1" applyAlignment="1"/>
    <xf numFmtId="0" fontId="7" fillId="0" borderId="0" xfId="6" applyFont="1" applyAlignment="1">
      <alignment horizontal="right"/>
    </xf>
    <xf numFmtId="1" fontId="9" fillId="0" borderId="0" xfId="6" applyNumberFormat="1" applyFont="1" applyFill="1"/>
    <xf numFmtId="2" fontId="9" fillId="0" borderId="0" xfId="6" applyNumberFormat="1" applyFont="1" applyFill="1"/>
    <xf numFmtId="0" fontId="9" fillId="0" borderId="0" xfId="6" applyNumberFormat="1" applyFont="1" applyFill="1" applyAlignment="1"/>
    <xf numFmtId="164" fontId="9" fillId="0" borderId="0" xfId="6" quotePrefix="1" applyNumberFormat="1" applyFont="1" applyFill="1"/>
    <xf numFmtId="0" fontId="9" fillId="0" borderId="0" xfId="6" quotePrefix="1" applyFont="1" applyFill="1" applyAlignment="1">
      <alignment horizontal="right"/>
    </xf>
    <xf numFmtId="0" fontId="9" fillId="0" borderId="0" xfId="6" applyFont="1" applyBorder="1" applyAlignment="1">
      <alignment horizontal="center"/>
    </xf>
    <xf numFmtId="0" fontId="9" fillId="0" borderId="0" xfId="6" applyFont="1" applyBorder="1" applyAlignment="1"/>
    <xf numFmtId="0" fontId="9" fillId="0" borderId="0" xfId="6" applyFont="1" applyFill="1" applyBorder="1" applyAlignment="1"/>
    <xf numFmtId="2" fontId="10" fillId="0" borderId="2" xfId="6" applyNumberFormat="1" applyFont="1" applyFill="1" applyBorder="1" applyAlignment="1">
      <alignment horizontal="center"/>
    </xf>
    <xf numFmtId="0" fontId="10" fillId="0" borderId="0" xfId="6" applyFont="1" applyFill="1"/>
    <xf numFmtId="0" fontId="9" fillId="0" borderId="0" xfId="6" applyFont="1" applyFill="1" applyBorder="1"/>
    <xf numFmtId="0" fontId="10" fillId="0" borderId="2" xfId="6" applyNumberFormat="1" applyFont="1" applyFill="1" applyBorder="1" applyAlignment="1">
      <alignment horizontal="center"/>
    </xf>
    <xf numFmtId="0" fontId="13" fillId="0" borderId="2" xfId="6" applyNumberFormat="1" applyFont="1" applyFill="1" applyBorder="1" applyAlignment="1">
      <alignment horizontal="center"/>
    </xf>
    <xf numFmtId="0" fontId="10" fillId="0" borderId="3" xfId="6" applyFont="1" applyFill="1" applyBorder="1" applyAlignment="1">
      <alignment horizontal="left"/>
    </xf>
    <xf numFmtId="0" fontId="10" fillId="0" borderId="15" xfId="6" applyNumberFormat="1" applyFont="1" applyFill="1" applyBorder="1" applyAlignment="1">
      <alignment horizontal="center"/>
    </xf>
    <xf numFmtId="0" fontId="16" fillId="0" borderId="0" xfId="6" applyFont="1" applyFill="1" applyAlignment="1">
      <alignment horizontal="left"/>
    </xf>
    <xf numFmtId="0" fontId="26" fillId="0" borderId="0" xfId="6" applyFont="1" applyBorder="1" applyAlignment="1">
      <alignment horizontal="left"/>
    </xf>
    <xf numFmtId="0" fontId="26" fillId="0" borderId="0" xfId="6" applyFont="1" applyFill="1" applyBorder="1"/>
    <xf numFmtId="0" fontId="9" fillId="0" borderId="0" xfId="6" applyFont="1" applyBorder="1"/>
    <xf numFmtId="0" fontId="26" fillId="0" borderId="0" xfId="6" applyFont="1" applyBorder="1"/>
    <xf numFmtId="0" fontId="9" fillId="0" borderId="0" xfId="6" applyFont="1" applyAlignment="1"/>
    <xf numFmtId="0" fontId="10" fillId="0" borderId="0" xfId="7" applyFont="1" applyAlignment="1">
      <alignment horizontal="right"/>
    </xf>
    <xf numFmtId="0" fontId="10" fillId="4" borderId="10" xfId="6" applyFont="1" applyFill="1" applyBorder="1" applyAlignment="1">
      <alignment horizontal="left"/>
    </xf>
    <xf numFmtId="0" fontId="10" fillId="4" borderId="11" xfId="6" applyFont="1" applyFill="1" applyBorder="1" applyAlignment="1">
      <alignment horizontal="left"/>
    </xf>
    <xf numFmtId="0" fontId="11" fillId="6" borderId="20" xfId="9" applyFont="1" applyFill="1" applyBorder="1" applyAlignment="1"/>
    <xf numFmtId="0" fontId="10" fillId="0" borderId="0" xfId="16" applyFont="1" applyBorder="1"/>
    <xf numFmtId="0" fontId="10" fillId="0" borderId="30" xfId="16" applyFont="1" applyBorder="1"/>
    <xf numFmtId="0" fontId="10" fillId="0" borderId="0" xfId="16" applyFont="1" applyFill="1" applyBorder="1"/>
    <xf numFmtId="2" fontId="10" fillId="0" borderId="0" xfId="16" applyNumberFormat="1" applyFont="1" applyFill="1" applyBorder="1" applyAlignment="1">
      <alignment horizontal="center"/>
    </xf>
    <xf numFmtId="0" fontId="10" fillId="0" borderId="30" xfId="16" applyFont="1" applyFill="1" applyBorder="1"/>
    <xf numFmtId="2" fontId="10" fillId="14" borderId="31" xfId="16" applyNumberFormat="1" applyFont="1" applyFill="1" applyBorder="1" applyAlignment="1">
      <alignment horizontal="center"/>
    </xf>
    <xf numFmtId="0" fontId="6" fillId="0" borderId="0" xfId="0" applyFont="1"/>
    <xf numFmtId="0" fontId="6" fillId="0" borderId="0" xfId="0" applyFont="1" applyFill="1"/>
    <xf numFmtId="0" fontId="6" fillId="0" borderId="0" xfId="0" applyFont="1" applyAlignment="1">
      <alignment horizontal="center" vertical="center" wrapText="1"/>
    </xf>
    <xf numFmtId="0" fontId="6" fillId="0" borderId="0" xfId="0" applyFont="1" applyFill="1" applyBorder="1" applyAlignment="1">
      <alignment horizontal="center" vertical="center"/>
    </xf>
    <xf numFmtId="0" fontId="37" fillId="0" borderId="0" xfId="0" applyFont="1" applyFill="1" applyAlignment="1">
      <alignment horizontal="center" wrapText="1"/>
    </xf>
    <xf numFmtId="167" fontId="37" fillId="0" borderId="0" xfId="0" applyNumberFormat="1" applyFont="1" applyFill="1" applyBorder="1" applyAlignment="1">
      <alignment horizontal="center" vertical="center" wrapText="1"/>
    </xf>
    <xf numFmtId="167" fontId="37" fillId="0" borderId="8" xfId="0" applyNumberFormat="1" applyFont="1" applyFill="1" applyBorder="1" applyAlignment="1">
      <alignment horizontal="center" vertical="center" wrapText="1"/>
    </xf>
    <xf numFmtId="167" fontId="37" fillId="0" borderId="8" xfId="0" applyNumberFormat="1" applyFont="1" applyFill="1" applyBorder="1" applyAlignment="1" applyProtection="1">
      <alignment horizontal="center" vertical="center" wrapText="1"/>
      <protection locked="0"/>
    </xf>
    <xf numFmtId="0" fontId="38" fillId="0" borderId="0" xfId="0" applyFont="1" applyFill="1" applyAlignment="1">
      <alignment horizontal="right" vertical="center"/>
    </xf>
    <xf numFmtId="0" fontId="38" fillId="0" borderId="0" xfId="0" applyFont="1" applyFill="1" applyBorder="1" applyAlignment="1">
      <alignment vertical="center"/>
    </xf>
    <xf numFmtId="0" fontId="15" fillId="6" borderId="20" xfId="7" applyFont="1" applyFill="1" applyBorder="1" applyAlignment="1">
      <alignment horizontal="right"/>
    </xf>
    <xf numFmtId="2" fontId="10" fillId="6" borderId="15" xfId="7" applyNumberFormat="1" applyFont="1" applyFill="1" applyBorder="1" applyAlignment="1">
      <alignment horizontal="center"/>
    </xf>
    <xf numFmtId="0" fontId="14" fillId="0" borderId="2" xfId="7" applyFont="1" applyFill="1" applyBorder="1" applyAlignment="1">
      <alignment horizontal="center"/>
    </xf>
    <xf numFmtId="1" fontId="14" fillId="0" borderId="3" xfId="7" applyNumberFormat="1" applyFont="1" applyFill="1" applyBorder="1" applyAlignment="1">
      <alignment horizontal="center"/>
    </xf>
    <xf numFmtId="0" fontId="20" fillId="3" borderId="0" xfId="13" applyFont="1" applyFill="1" applyAlignment="1" applyProtection="1">
      <alignment horizontal="center" vertical="center"/>
    </xf>
    <xf numFmtId="0" fontId="7" fillId="0" borderId="0" xfId="6" applyFont="1" applyFill="1" applyBorder="1" applyAlignment="1">
      <alignment vertical="center"/>
    </xf>
    <xf numFmtId="0" fontId="8" fillId="0" borderId="0" xfId="6" applyFont="1"/>
    <xf numFmtId="0" fontId="8" fillId="0" borderId="0" xfId="6" applyFont="1" applyAlignment="1">
      <alignment horizontal="right"/>
    </xf>
    <xf numFmtId="0" fontId="8" fillId="3" borderId="0" xfId="6" applyFont="1" applyFill="1"/>
    <xf numFmtId="0" fontId="42" fillId="3" borderId="0" xfId="6" applyFont="1" applyFill="1"/>
    <xf numFmtId="0" fontId="43" fillId="3" borderId="0" xfId="6" applyFont="1" applyFill="1" applyBorder="1" applyAlignment="1">
      <alignment horizontal="center" vertical="center" wrapText="1"/>
    </xf>
    <xf numFmtId="0" fontId="44" fillId="3" borderId="32" xfId="6" applyFont="1" applyFill="1" applyBorder="1" applyAlignment="1">
      <alignment horizontal="center"/>
    </xf>
    <xf numFmtId="0" fontId="44" fillId="3" borderId="32" xfId="6" applyFont="1" applyFill="1" applyBorder="1" applyAlignment="1">
      <alignment horizontal="center" wrapText="1"/>
    </xf>
    <xf numFmtId="0" fontId="42" fillId="0" borderId="0" xfId="6" applyFont="1" applyBorder="1" applyAlignment="1">
      <alignment vertical="center" wrapText="1"/>
    </xf>
    <xf numFmtId="0" fontId="16" fillId="0" borderId="0" xfId="6" applyFont="1" applyBorder="1" applyAlignment="1"/>
    <xf numFmtId="0" fontId="26" fillId="0" borderId="0" xfId="6" applyFont="1" applyBorder="1" applyAlignment="1">
      <alignment wrapText="1"/>
    </xf>
    <xf numFmtId="0" fontId="16" fillId="0" borderId="0" xfId="6" applyFont="1" applyBorder="1" applyAlignment="1">
      <alignment wrapText="1"/>
    </xf>
    <xf numFmtId="0" fontId="44" fillId="0" borderId="0" xfId="6" applyFont="1" applyBorder="1" applyAlignment="1">
      <alignment vertical="top"/>
    </xf>
    <xf numFmtId="0" fontId="16" fillId="3" borderId="0" xfId="6" applyFont="1" applyFill="1" applyAlignment="1">
      <alignment wrapText="1"/>
    </xf>
    <xf numFmtId="0" fontId="44" fillId="3" borderId="34" xfId="6" applyFont="1" applyFill="1" applyBorder="1" applyAlignment="1">
      <alignment horizontal="center" wrapText="1"/>
    </xf>
    <xf numFmtId="0" fontId="48" fillId="3" borderId="19" xfId="6" applyFont="1" applyFill="1" applyBorder="1" applyAlignment="1">
      <alignment horizontal="center"/>
    </xf>
    <xf numFmtId="0" fontId="3" fillId="0" borderId="28" xfId="6" applyFont="1" applyFill="1" applyBorder="1" applyAlignment="1">
      <alignment horizontal="left"/>
    </xf>
    <xf numFmtId="0" fontId="3" fillId="0" borderId="29" xfId="6" applyFont="1" applyFill="1" applyBorder="1" applyAlignment="1">
      <alignment horizontal="left"/>
    </xf>
    <xf numFmtId="0" fontId="3" fillId="6" borderId="29" xfId="6" applyFont="1" applyFill="1" applyBorder="1" applyAlignment="1">
      <alignment horizontal="left"/>
    </xf>
    <xf numFmtId="0" fontId="48" fillId="3" borderId="35" xfId="6" applyFont="1" applyFill="1" applyBorder="1" applyAlignment="1">
      <alignment horizontal="center"/>
    </xf>
    <xf numFmtId="0" fontId="48" fillId="3" borderId="37" xfId="6" applyFont="1" applyFill="1" applyBorder="1" applyAlignment="1">
      <alignment horizontal="center"/>
    </xf>
    <xf numFmtId="0" fontId="3" fillId="6" borderId="28" xfId="6" applyFont="1" applyFill="1" applyBorder="1" applyAlignment="1">
      <alignment horizontal="left"/>
    </xf>
    <xf numFmtId="0" fontId="48" fillId="6" borderId="37" xfId="6" applyFont="1" applyFill="1" applyBorder="1" applyAlignment="1">
      <alignment horizontal="center"/>
    </xf>
    <xf numFmtId="0" fontId="16" fillId="0" borderId="0" xfId="16" applyFont="1" applyAlignment="1">
      <alignment horizontal="right"/>
    </xf>
    <xf numFmtId="167" fontId="16" fillId="0" borderId="0" xfId="6" applyNumberFormat="1" applyFont="1" applyAlignment="1">
      <alignment horizontal="left"/>
    </xf>
    <xf numFmtId="10" fontId="9" fillId="0" borderId="0" xfId="5" applyNumberFormat="1" applyFont="1" applyFill="1"/>
    <xf numFmtId="0" fontId="10" fillId="0" borderId="7" xfId="0" applyFont="1" applyFill="1" applyBorder="1" applyAlignment="1">
      <alignment horizontal="left"/>
    </xf>
    <xf numFmtId="0" fontId="10" fillId="0" borderId="14" xfId="0" applyFont="1" applyFill="1" applyBorder="1" applyAlignment="1">
      <alignment horizontal="left"/>
    </xf>
    <xf numFmtId="0" fontId="40" fillId="0" borderId="20" xfId="13" applyBorder="1" applyAlignment="1" applyProtection="1"/>
    <xf numFmtId="0" fontId="40" fillId="0" borderId="12" xfId="13" applyBorder="1" applyAlignment="1" applyProtection="1"/>
    <xf numFmtId="0" fontId="40" fillId="3" borderId="0" xfId="13" applyFont="1" applyFill="1" applyAlignment="1" applyProtection="1">
      <alignment horizontal="left"/>
    </xf>
    <xf numFmtId="0" fontId="16" fillId="0" borderId="0" xfId="7" applyFont="1"/>
    <xf numFmtId="0" fontId="40" fillId="0" borderId="8" xfId="13" applyBorder="1" applyAlignment="1" applyProtection="1">
      <alignment horizontal="left"/>
    </xf>
    <xf numFmtId="0" fontId="10" fillId="0" borderId="2" xfId="7" applyFont="1" applyFill="1" applyBorder="1" applyAlignment="1">
      <alignment horizontal="centerContinuous" vertical="center"/>
    </xf>
    <xf numFmtId="0" fontId="10" fillId="0" borderId="2" xfId="7" applyFont="1" applyFill="1" applyBorder="1" applyAlignment="1">
      <alignment horizontal="center" vertical="center"/>
    </xf>
    <xf numFmtId="167" fontId="18" fillId="0" borderId="31" xfId="0" applyNumberFormat="1" applyFont="1" applyBorder="1" applyAlignment="1">
      <alignment horizontal="center"/>
    </xf>
    <xf numFmtId="0" fontId="17" fillId="0" borderId="40" xfId="0" applyFont="1" applyBorder="1" applyAlignment="1">
      <alignment horizontal="center"/>
    </xf>
    <xf numFmtId="0" fontId="40" fillId="3" borderId="15" xfId="13" applyFill="1" applyBorder="1" applyAlignment="1" applyProtection="1">
      <alignment horizontal="left"/>
    </xf>
    <xf numFmtId="0" fontId="20" fillId="0" borderId="0" xfId="26" applyFont="1" applyFill="1" applyAlignment="1" applyProtection="1"/>
    <xf numFmtId="0" fontId="19" fillId="0" borderId="0" xfId="9" applyFont="1"/>
    <xf numFmtId="0" fontId="7" fillId="0" borderId="0" xfId="9" applyFont="1" applyAlignment="1">
      <alignment horizontal="right"/>
    </xf>
    <xf numFmtId="0" fontId="44" fillId="0" borderId="0" xfId="9" applyNumberFormat="1" applyFont="1" applyAlignment="1">
      <alignment horizontal="center"/>
    </xf>
    <xf numFmtId="0" fontId="19" fillId="0" borderId="0" xfId="9" applyNumberFormat="1" applyFont="1"/>
    <xf numFmtId="0" fontId="9" fillId="0" borderId="0" xfId="9" applyFont="1" applyAlignment="1">
      <alignment horizontal="right"/>
    </xf>
    <xf numFmtId="1" fontId="10" fillId="0" borderId="0" xfId="9" applyNumberFormat="1" applyFont="1" applyFill="1" applyAlignment="1">
      <alignment horizontal="left"/>
    </xf>
    <xf numFmtId="0" fontId="10" fillId="0" borderId="0" xfId="9" applyFont="1"/>
    <xf numFmtId="0" fontId="26" fillId="0" borderId="0" xfId="9" applyFont="1" applyAlignment="1">
      <alignment horizontal="center"/>
    </xf>
    <xf numFmtId="0" fontId="26" fillId="0" borderId="0" xfId="9" applyNumberFormat="1" applyFont="1" applyAlignment="1">
      <alignment horizontal="center"/>
    </xf>
    <xf numFmtId="0" fontId="9" fillId="0" borderId="0" xfId="9" applyNumberFormat="1" applyFont="1"/>
    <xf numFmtId="0" fontId="9" fillId="0" borderId="0" xfId="9" applyFont="1"/>
    <xf numFmtId="0" fontId="10" fillId="0" borderId="0" xfId="9" applyFont="1" applyAlignment="1">
      <alignment horizontal="right"/>
    </xf>
    <xf numFmtId="0" fontId="10" fillId="0" borderId="0" xfId="9" applyFont="1" applyAlignment="1">
      <alignment horizontal="center"/>
    </xf>
    <xf numFmtId="0" fontId="26" fillId="0" borderId="0" xfId="9" applyFont="1"/>
    <xf numFmtId="0" fontId="26" fillId="0" borderId="0" xfId="9" applyNumberFormat="1" applyFont="1"/>
    <xf numFmtId="0" fontId="11" fillId="0" borderId="0" xfId="7" applyFont="1" applyFill="1" applyBorder="1"/>
    <xf numFmtId="0" fontId="26" fillId="0" borderId="0" xfId="9" applyFont="1" applyBorder="1"/>
    <xf numFmtId="0" fontId="10" fillId="0" borderId="0" xfId="7" applyFont="1" applyFill="1" applyBorder="1" applyAlignment="1">
      <alignment horizontal="right"/>
    </xf>
    <xf numFmtId="0" fontId="26" fillId="0" borderId="0" xfId="9" applyFont="1" applyFill="1" applyAlignment="1">
      <alignment horizontal="center"/>
    </xf>
    <xf numFmtId="0" fontId="26" fillId="0" borderId="0" xfId="9" applyNumberFormat="1" applyFont="1" applyFill="1" applyAlignment="1">
      <alignment horizontal="center"/>
    </xf>
    <xf numFmtId="0" fontId="9" fillId="0" borderId="0" xfId="9" applyNumberFormat="1" applyFont="1" applyFill="1"/>
    <xf numFmtId="0" fontId="9" fillId="0" borderId="0" xfId="9" applyFont="1" applyFill="1"/>
    <xf numFmtId="0" fontId="54" fillId="0" borderId="0" xfId="9" applyFont="1" applyFill="1" applyAlignment="1">
      <alignment horizontal="center"/>
    </xf>
    <xf numFmtId="0" fontId="54" fillId="0" borderId="0" xfId="9" applyNumberFormat="1" applyFont="1" applyFill="1" applyAlignment="1">
      <alignment horizontal="center"/>
    </xf>
    <xf numFmtId="0" fontId="55" fillId="0" borderId="0" xfId="9" applyNumberFormat="1" applyFont="1" applyFill="1"/>
    <xf numFmtId="0" fontId="55" fillId="0" borderId="0" xfId="9" applyFont="1" applyFill="1"/>
    <xf numFmtId="0" fontId="10" fillId="3" borderId="0" xfId="7" applyFont="1" applyFill="1" applyBorder="1" applyAlignment="1">
      <alignment horizontal="center" textRotation="90" wrapText="1"/>
    </xf>
    <xf numFmtId="0" fontId="10" fillId="3" borderId="0" xfId="7" applyFont="1" applyFill="1" applyBorder="1" applyAlignment="1">
      <alignment horizontal="center"/>
    </xf>
    <xf numFmtId="0" fontId="10" fillId="0" borderId="0" xfId="7" applyFont="1" applyBorder="1" applyAlignment="1">
      <alignment horizontal="center"/>
    </xf>
    <xf numFmtId="0" fontId="10" fillId="0" borderId="0" xfId="7" applyFont="1" applyBorder="1" applyAlignment="1"/>
    <xf numFmtId="9" fontId="10" fillId="0" borderId="0" xfId="5" applyFont="1" applyFill="1" applyBorder="1" applyAlignment="1">
      <alignment horizontal="center"/>
    </xf>
    <xf numFmtId="0" fontId="10" fillId="0" borderId="0" xfId="9" applyFont="1" applyBorder="1" applyAlignment="1">
      <alignment horizontal="center"/>
    </xf>
    <xf numFmtId="2" fontId="9" fillId="0" borderId="0" xfId="27" applyNumberFormat="1" applyFont="1" applyFill="1" applyBorder="1" applyAlignment="1">
      <alignment horizontal="center"/>
    </xf>
    <xf numFmtId="0" fontId="26" fillId="0" borderId="0" xfId="9" applyFont="1" applyFill="1" applyBorder="1" applyAlignment="1">
      <alignment horizontal="center"/>
    </xf>
    <xf numFmtId="9" fontId="10" fillId="0" borderId="0" xfId="7" applyNumberFormat="1" applyFont="1" applyBorder="1"/>
    <xf numFmtId="0" fontId="9" fillId="0" borderId="22" xfId="9" applyFont="1" applyFill="1" applyBorder="1"/>
    <xf numFmtId="0" fontId="56" fillId="0" borderId="0" xfId="21" applyFont="1" applyAlignment="1" applyProtection="1"/>
    <xf numFmtId="0" fontId="18" fillId="0" borderId="0" xfId="6" applyFont="1"/>
    <xf numFmtId="0" fontId="18" fillId="0" borderId="0" xfId="6" applyFont="1" applyAlignment="1">
      <alignment horizontal="center"/>
    </xf>
    <xf numFmtId="0" fontId="26" fillId="0" borderId="2" xfId="9" applyFont="1" applyFill="1" applyBorder="1" applyAlignment="1">
      <alignment horizontal="center"/>
    </xf>
    <xf numFmtId="0" fontId="26" fillId="0" borderId="2" xfId="9" applyNumberFormat="1" applyFont="1" applyFill="1" applyBorder="1" applyAlignment="1">
      <alignment horizontal="center"/>
    </xf>
    <xf numFmtId="0" fontId="9" fillId="0" borderId="2" xfId="9" applyNumberFormat="1" applyFont="1" applyFill="1" applyBorder="1"/>
    <xf numFmtId="0" fontId="9" fillId="0" borderId="2" xfId="9" applyFont="1" applyFill="1" applyBorder="1"/>
    <xf numFmtId="9" fontId="10" fillId="0" borderId="3" xfId="7" applyNumberFormat="1" applyFont="1" applyBorder="1"/>
    <xf numFmtId="0" fontId="26" fillId="0" borderId="0" xfId="9" applyNumberFormat="1" applyFont="1" applyFill="1" applyBorder="1" applyAlignment="1">
      <alignment horizontal="center"/>
    </xf>
    <xf numFmtId="0" fontId="9" fillId="0" borderId="0" xfId="9" applyNumberFormat="1" applyFont="1" applyFill="1" applyBorder="1"/>
    <xf numFmtId="0" fontId="9" fillId="0" borderId="0" xfId="9" applyFont="1" applyFill="1" applyBorder="1"/>
    <xf numFmtId="9" fontId="10" fillId="0" borderId="0" xfId="7" applyNumberFormat="1" applyFont="1" applyFill="1" applyBorder="1"/>
    <xf numFmtId="0" fontId="40" fillId="0" borderId="42" xfId="13" applyBorder="1" applyAlignment="1" applyProtection="1"/>
    <xf numFmtId="0" fontId="42" fillId="3" borderId="32" xfId="6" applyFont="1" applyFill="1" applyBorder="1" applyAlignment="1">
      <alignment horizontal="center"/>
    </xf>
    <xf numFmtId="0" fontId="16" fillId="3" borderId="35" xfId="6" applyFont="1" applyFill="1" applyBorder="1"/>
    <xf numFmtId="0" fontId="16" fillId="3" borderId="43" xfId="6" applyFont="1" applyFill="1" applyBorder="1"/>
    <xf numFmtId="0" fontId="16" fillId="3" borderId="43" xfId="6" applyFont="1" applyFill="1" applyBorder="1" applyAlignment="1">
      <alignment wrapText="1"/>
    </xf>
    <xf numFmtId="0" fontId="10" fillId="0" borderId="0" xfId="0" applyFont="1" applyBorder="1" applyAlignment="1">
      <alignment horizontal="left"/>
    </xf>
    <xf numFmtId="0" fontId="10" fillId="0" borderId="0" xfId="0" applyFont="1" applyBorder="1"/>
    <xf numFmtId="0" fontId="16" fillId="0" borderId="0" xfId="16" applyFont="1" applyBorder="1"/>
    <xf numFmtId="2" fontId="18" fillId="0" borderId="6" xfId="0" applyNumberFormat="1" applyFont="1" applyBorder="1" applyAlignment="1">
      <alignment horizontal="left"/>
    </xf>
    <xf numFmtId="2" fontId="19" fillId="0" borderId="44" xfId="0" applyNumberFormat="1" applyFont="1" applyBorder="1"/>
    <xf numFmtId="2" fontId="8" fillId="3" borderId="0" xfId="7" applyNumberFormat="1" applyFont="1" applyFill="1" applyAlignment="1">
      <alignment horizontal="center"/>
    </xf>
    <xf numFmtId="0" fontId="8" fillId="3" borderId="0" xfId="7" applyFont="1" applyFill="1" applyAlignment="1">
      <alignment horizontal="right"/>
    </xf>
    <xf numFmtId="2" fontId="8" fillId="3" borderId="0" xfId="7" applyNumberFormat="1" applyFont="1" applyFill="1" applyAlignment="1">
      <alignment horizontal="left"/>
    </xf>
    <xf numFmtId="0" fontId="8" fillId="0" borderId="0" xfId="9" applyFont="1"/>
    <xf numFmtId="2" fontId="8" fillId="0" borderId="0" xfId="9" applyNumberFormat="1" applyFont="1"/>
    <xf numFmtId="167" fontId="18" fillId="0" borderId="45" xfId="0" applyNumberFormat="1" applyFont="1" applyBorder="1" applyAlignment="1">
      <alignment horizontal="center"/>
    </xf>
    <xf numFmtId="167" fontId="18" fillId="0" borderId="28" xfId="0" applyNumberFormat="1" applyFont="1" applyBorder="1" applyAlignment="1">
      <alignment horizontal="center"/>
    </xf>
    <xf numFmtId="2" fontId="18" fillId="0" borderId="15" xfId="0" applyNumberFormat="1" applyFont="1" applyBorder="1" applyAlignment="1">
      <alignment horizontal="center"/>
    </xf>
    <xf numFmtId="2" fontId="18" fillId="0" borderId="3" xfId="0" applyNumberFormat="1" applyFont="1" applyBorder="1" applyAlignment="1">
      <alignment horizontal="center"/>
    </xf>
    <xf numFmtId="1" fontId="10" fillId="0" borderId="0" xfId="9" applyNumberFormat="1" applyFont="1" applyAlignment="1">
      <alignment horizontal="center"/>
    </xf>
    <xf numFmtId="1" fontId="9" fillId="0" borderId="0" xfId="9" applyNumberFormat="1" applyFont="1" applyAlignment="1">
      <alignment horizontal="left"/>
    </xf>
    <xf numFmtId="9" fontId="9" fillId="0" borderId="6" xfId="5" applyFont="1" applyFill="1" applyBorder="1" applyAlignment="1">
      <alignment horizontal="center"/>
    </xf>
    <xf numFmtId="1" fontId="10" fillId="0" borderId="7" xfId="1" applyNumberFormat="1" applyFont="1" applyFill="1" applyBorder="1" applyAlignment="1">
      <alignment horizontal="center"/>
    </xf>
    <xf numFmtId="165" fontId="10" fillId="0" borderId="14" xfId="1" applyNumberFormat="1" applyFont="1" applyFill="1" applyBorder="1" applyAlignment="1">
      <alignment horizontal="center"/>
    </xf>
    <xf numFmtId="2" fontId="10" fillId="0" borderId="6" xfId="6" applyNumberFormat="1" applyFont="1" applyFill="1" applyBorder="1" applyAlignment="1">
      <alignment horizontal="center"/>
    </xf>
    <xf numFmtId="0" fontId="10" fillId="0" borderId="6" xfId="6" applyNumberFormat="1" applyFont="1" applyFill="1" applyBorder="1" applyAlignment="1">
      <alignment horizontal="center"/>
    </xf>
    <xf numFmtId="0" fontId="10" fillId="0" borderId="44" xfId="6" applyFont="1" applyFill="1" applyBorder="1" applyAlignment="1">
      <alignment horizontal="center"/>
    </xf>
    <xf numFmtId="0" fontId="10" fillId="0" borderId="46" xfId="6" applyNumberFormat="1" applyFont="1" applyFill="1" applyBorder="1" applyAlignment="1">
      <alignment horizontal="center"/>
    </xf>
    <xf numFmtId="0" fontId="10" fillId="0" borderId="44" xfId="6" applyNumberFormat="1" applyFont="1" applyFill="1" applyBorder="1" applyAlignment="1">
      <alignment horizontal="center"/>
    </xf>
    <xf numFmtId="1" fontId="14" fillId="0" borderId="7" xfId="7" applyNumberFormat="1" applyFont="1" applyBorder="1" applyAlignment="1">
      <alignment horizontal="center"/>
    </xf>
    <xf numFmtId="9" fontId="10" fillId="0" borderId="7" xfId="7" applyNumberFormat="1" applyFont="1" applyBorder="1"/>
    <xf numFmtId="9" fontId="10" fillId="0" borderId="6" xfId="5" applyFont="1" applyFill="1" applyBorder="1" applyAlignment="1">
      <alignment horizontal="center"/>
    </xf>
    <xf numFmtId="164" fontId="12" fillId="0" borderId="9" xfId="7" applyNumberFormat="1" applyFont="1" applyFill="1" applyBorder="1" applyAlignment="1">
      <alignment horizontal="center"/>
    </xf>
    <xf numFmtId="0" fontId="10" fillId="6" borderId="2" xfId="0" applyNumberFormat="1" applyFont="1" applyFill="1" applyBorder="1" applyAlignment="1">
      <alignment horizontal="center"/>
    </xf>
    <xf numFmtId="0" fontId="10" fillId="0" borderId="9" xfId="0" applyNumberFormat="1" applyFont="1" applyFill="1" applyBorder="1" applyAlignment="1">
      <alignment horizontal="center"/>
    </xf>
    <xf numFmtId="0" fontId="10" fillId="0" borderId="44" xfId="0" applyFont="1" applyFill="1" applyBorder="1" applyAlignment="1">
      <alignment horizontal="center"/>
    </xf>
    <xf numFmtId="0" fontId="10" fillId="0" borderId="7" xfId="0" applyNumberFormat="1" applyFont="1" applyFill="1" applyBorder="1" applyAlignment="1">
      <alignment horizontal="center"/>
    </xf>
    <xf numFmtId="0" fontId="10" fillId="0" borderId="44" xfId="0" applyNumberFormat="1" applyFont="1" applyFill="1" applyBorder="1" applyAlignment="1">
      <alignment horizontal="center"/>
    </xf>
    <xf numFmtId="1" fontId="14" fillId="0" borderId="7" xfId="7" applyNumberFormat="1" applyFont="1" applyFill="1" applyBorder="1" applyAlignment="1">
      <alignment horizontal="center"/>
    </xf>
    <xf numFmtId="164" fontId="12" fillId="0" borderId="5" xfId="7" applyNumberFormat="1" applyFont="1" applyFill="1" applyBorder="1" applyAlignment="1">
      <alignment horizontal="center"/>
    </xf>
    <xf numFmtId="0" fontId="14" fillId="0" borderId="5" xfId="7" applyFont="1" applyFill="1" applyBorder="1" applyAlignment="1">
      <alignment horizontal="center"/>
    </xf>
    <xf numFmtId="0" fontId="40" fillId="3" borderId="0" xfId="13" applyFill="1" applyAlignment="1" applyProtection="1"/>
    <xf numFmtId="0" fontId="40" fillId="3" borderId="0" xfId="13" applyFill="1" applyAlignment="1" applyProtection="1">
      <alignment horizontal="left"/>
    </xf>
    <xf numFmtId="2" fontId="9" fillId="0" borderId="3" xfId="27" applyNumberFormat="1" applyFont="1" applyBorder="1" applyAlignment="1">
      <alignment horizontal="center"/>
    </xf>
    <xf numFmtId="2" fontId="10" fillId="0" borderId="6" xfId="0" applyNumberFormat="1" applyFont="1" applyFill="1" applyBorder="1" applyAlignment="1">
      <alignment horizontal="center"/>
    </xf>
    <xf numFmtId="0" fontId="3" fillId="0" borderId="0" xfId="6"/>
    <xf numFmtId="0" fontId="39" fillId="0" borderId="0" xfId="21" applyFill="1" applyBorder="1" applyAlignment="1" applyProtection="1"/>
    <xf numFmtId="15" fontId="0" fillId="0" borderId="0" xfId="0" applyNumberFormat="1"/>
    <xf numFmtId="0" fontId="31" fillId="0" borderId="0" xfId="9" applyFont="1"/>
    <xf numFmtId="2" fontId="10" fillId="0" borderId="2" xfId="0" applyNumberFormat="1" applyFont="1" applyBorder="1" applyAlignment="1">
      <alignment horizontal="center" vertical="center"/>
    </xf>
    <xf numFmtId="0" fontId="10" fillId="0" borderId="6" xfId="0" applyNumberFormat="1" applyFont="1" applyFill="1" applyBorder="1" applyAlignment="1">
      <alignment horizontal="center"/>
    </xf>
    <xf numFmtId="0" fontId="10" fillId="0" borderId="46" xfId="0" applyNumberFormat="1" applyFont="1" applyFill="1" applyBorder="1" applyAlignment="1">
      <alignment horizontal="center"/>
    </xf>
    <xf numFmtId="0" fontId="14" fillId="0" borderId="6" xfId="7" applyFont="1" applyFill="1" applyBorder="1" applyAlignment="1">
      <alignment horizontal="center"/>
    </xf>
    <xf numFmtId="167" fontId="40" fillId="0" borderId="0" xfId="13" applyNumberFormat="1" applyAlignment="1" applyProtection="1">
      <alignment horizontal="center"/>
    </xf>
    <xf numFmtId="0" fontId="44" fillId="0" borderId="0" xfId="9" applyFont="1" applyAlignment="1">
      <alignment horizontal="center"/>
    </xf>
    <xf numFmtId="0" fontId="8" fillId="0" borderId="0" xfId="9" applyFont="1" applyAlignment="1">
      <alignment horizontal="right"/>
    </xf>
    <xf numFmtId="0" fontId="8" fillId="0" borderId="0" xfId="9" applyFont="1" applyAlignment="1">
      <alignment horizontal="left"/>
    </xf>
    <xf numFmtId="0" fontId="59" fillId="0" borderId="0" xfId="26" applyFont="1" applyFill="1" applyAlignment="1" applyProtection="1"/>
    <xf numFmtId="0" fontId="10" fillId="0" borderId="0" xfId="9" applyFont="1" applyAlignment="1">
      <alignment horizontal="left"/>
    </xf>
    <xf numFmtId="1" fontId="10" fillId="0" borderId="0" xfId="9" applyNumberFormat="1" applyFont="1" applyAlignment="1">
      <alignment horizontal="left"/>
    </xf>
    <xf numFmtId="0" fontId="11" fillId="0" borderId="47" xfId="7" applyFont="1" applyBorder="1"/>
    <xf numFmtId="0" fontId="10" fillId="0" borderId="47" xfId="7" applyFont="1" applyBorder="1" applyAlignment="1">
      <alignment horizontal="right"/>
    </xf>
    <xf numFmtId="0" fontId="54" fillId="0" borderId="0" xfId="9" applyFont="1" applyAlignment="1">
      <alignment horizontal="center"/>
    </xf>
    <xf numFmtId="0" fontId="55" fillId="0" borderId="0" xfId="9" applyFont="1"/>
    <xf numFmtId="0" fontId="10" fillId="0" borderId="47" xfId="7" applyFont="1" applyBorder="1"/>
    <xf numFmtId="0" fontId="15" fillId="0" borderId="47" xfId="16" applyFont="1" applyBorder="1"/>
    <xf numFmtId="0" fontId="10" fillId="0" borderId="47" xfId="6" applyFont="1" applyBorder="1"/>
    <xf numFmtId="0" fontId="10" fillId="0" borderId="3" xfId="9" applyFont="1" applyBorder="1" applyAlignment="1">
      <alignment horizontal="center"/>
    </xf>
    <xf numFmtId="167" fontId="18" fillId="0" borderId="30" xfId="0" applyNumberFormat="1" applyFont="1" applyBorder="1" applyAlignment="1">
      <alignment horizontal="center"/>
    </xf>
    <xf numFmtId="0" fontId="10" fillId="0" borderId="47" xfId="16" applyFont="1" applyBorder="1"/>
    <xf numFmtId="167" fontId="10" fillId="0" borderId="0" xfId="9" applyNumberFormat="1" applyFont="1" applyAlignment="1">
      <alignment horizontal="left"/>
    </xf>
    <xf numFmtId="0" fontId="16" fillId="0" borderId="47" xfId="16" applyFont="1" applyBorder="1"/>
    <xf numFmtId="0" fontId="48" fillId="0" borderId="49" xfId="24" applyFont="1" applyBorder="1" applyAlignment="1">
      <alignment horizontal="center" vertical="center"/>
    </xf>
    <xf numFmtId="0" fontId="48" fillId="0" borderId="49" xfId="30" applyFont="1" applyBorder="1"/>
    <xf numFmtId="0" fontId="60" fillId="0" borderId="50" xfId="24" applyFont="1" applyBorder="1" applyAlignment="1">
      <alignment horizontal="center" vertical="center" textRotation="180"/>
    </xf>
    <xf numFmtId="0" fontId="60" fillId="6" borderId="50" xfId="24" applyFont="1" applyFill="1" applyBorder="1" applyAlignment="1">
      <alignment horizontal="center" vertical="center" textRotation="180"/>
    </xf>
    <xf numFmtId="0" fontId="48" fillId="0" borderId="20" xfId="30" applyFont="1" applyBorder="1"/>
    <xf numFmtId="0" fontId="48" fillId="0" borderId="15" xfId="30" applyFont="1" applyBorder="1"/>
    <xf numFmtId="0" fontId="48" fillId="0" borderId="15" xfId="24" applyFont="1" applyBorder="1" applyAlignment="1">
      <alignment horizontal="center" vertical="center"/>
    </xf>
    <xf numFmtId="0" fontId="48" fillId="0" borderId="21" xfId="24" applyFont="1" applyBorder="1" applyAlignment="1">
      <alignment horizontal="center" vertical="center"/>
    </xf>
    <xf numFmtId="0" fontId="48" fillId="0" borderId="51" xfId="30" applyFont="1" applyBorder="1"/>
    <xf numFmtId="0" fontId="48" fillId="0" borderId="52" xfId="24" applyFont="1" applyBorder="1" applyAlignment="1">
      <alignment horizontal="center" vertical="center"/>
    </xf>
    <xf numFmtId="0" fontId="48" fillId="0" borderId="53" xfId="30" applyFont="1" applyBorder="1"/>
    <xf numFmtId="0" fontId="48" fillId="0" borderId="54" xfId="30" applyFont="1" applyBorder="1"/>
    <xf numFmtId="0" fontId="48" fillId="0" borderId="54" xfId="24" applyFont="1" applyBorder="1" applyAlignment="1">
      <alignment horizontal="center" vertical="center"/>
    </xf>
    <xf numFmtId="0" fontId="48" fillId="0" borderId="55" xfId="24" applyFont="1" applyBorder="1" applyAlignment="1">
      <alignment horizontal="center" vertical="center"/>
    </xf>
    <xf numFmtId="167" fontId="38" fillId="0" borderId="0" xfId="0" applyNumberFormat="1" applyFont="1" applyFill="1" applyBorder="1" applyAlignment="1" applyProtection="1">
      <alignment horizontal="left" vertical="center"/>
      <protection locked="0"/>
    </xf>
    <xf numFmtId="2" fontId="10" fillId="0" borderId="3" xfId="6" applyNumberFormat="1" applyFont="1" applyFill="1" applyBorder="1" applyAlignment="1">
      <alignment horizontal="center"/>
    </xf>
    <xf numFmtId="0" fontId="10" fillId="0" borderId="47" xfId="7" applyFont="1" applyBorder="1" applyAlignment="1">
      <alignment horizontal="center"/>
    </xf>
    <xf numFmtId="0" fontId="40" fillId="0" borderId="56" xfId="13" applyBorder="1" applyAlignment="1" applyProtection="1">
      <alignment horizontal="left"/>
    </xf>
    <xf numFmtId="2" fontId="18" fillId="0" borderId="56" xfId="0" applyNumberFormat="1" applyFont="1" applyBorder="1" applyAlignment="1">
      <alignment horizontal="center"/>
    </xf>
    <xf numFmtId="0" fontId="18" fillId="0" borderId="50" xfId="0" applyFont="1" applyBorder="1" applyAlignment="1">
      <alignment horizontal="left"/>
    </xf>
    <xf numFmtId="0" fontId="18" fillId="0" borderId="49" xfId="0" applyFont="1" applyBorder="1" applyAlignment="1">
      <alignment horizontal="left"/>
    </xf>
    <xf numFmtId="2" fontId="18" fillId="0" borderId="47" xfId="0" applyNumberFormat="1" applyFont="1" applyBorder="1" applyAlignment="1">
      <alignment horizontal="left"/>
    </xf>
    <xf numFmtId="167" fontId="18" fillId="0" borderId="52" xfId="0" applyNumberFormat="1" applyFont="1" applyBorder="1" applyAlignment="1">
      <alignment horizontal="center"/>
    </xf>
    <xf numFmtId="0" fontId="19" fillId="0" borderId="54" xfId="0" applyFont="1" applyBorder="1"/>
    <xf numFmtId="0" fontId="19" fillId="0" borderId="55" xfId="0" applyFont="1" applyBorder="1"/>
    <xf numFmtId="15" fontId="18" fillId="0" borderId="49" xfId="0" applyNumberFormat="1" applyFont="1" applyBorder="1" applyAlignment="1">
      <alignment horizontal="center" vertical="center"/>
    </xf>
    <xf numFmtId="0" fontId="18" fillId="0" borderId="49" xfId="0" applyFont="1" applyBorder="1" applyAlignment="1">
      <alignment horizontal="left" vertical="center"/>
    </xf>
    <xf numFmtId="0" fontId="18" fillId="0" borderId="49" xfId="0" applyFont="1" applyBorder="1" applyAlignment="1">
      <alignment horizontal="left" vertical="center" wrapText="1"/>
    </xf>
    <xf numFmtId="15" fontId="18" fillId="0" borderId="49" xfId="0" applyNumberFormat="1" applyFont="1" applyBorder="1" applyAlignment="1">
      <alignment horizontal="center" vertical="center" wrapText="1"/>
    </xf>
    <xf numFmtId="0" fontId="18" fillId="0" borderId="49" xfId="0" applyFont="1" applyBorder="1" applyAlignment="1">
      <alignment vertical="center" wrapText="1"/>
    </xf>
    <xf numFmtId="0" fontId="18" fillId="0" borderId="49" xfId="0" applyFont="1" applyFill="1" applyBorder="1" applyAlignment="1">
      <alignment horizontal="left" vertical="center"/>
    </xf>
    <xf numFmtId="0" fontId="18" fillId="0" borderId="49" xfId="0" applyFont="1" applyFill="1" applyBorder="1" applyAlignment="1">
      <alignment vertical="center" wrapText="1"/>
    </xf>
    <xf numFmtId="0" fontId="18" fillId="0" borderId="49" xfId="0" applyFont="1" applyBorder="1"/>
    <xf numFmtId="0" fontId="18" fillId="0" borderId="49" xfId="0" applyFont="1" applyBorder="1" applyAlignment="1">
      <alignment wrapText="1"/>
    </xf>
    <xf numFmtId="15" fontId="18" fillId="0" borderId="49" xfId="9" applyNumberFormat="1" applyFont="1" applyBorder="1" applyAlignment="1">
      <alignment horizontal="center"/>
    </xf>
    <xf numFmtId="0" fontId="18" fillId="0" borderId="49" xfId="9" applyFont="1" applyBorder="1"/>
    <xf numFmtId="0" fontId="18" fillId="0" borderId="49" xfId="6" applyFont="1" applyBorder="1"/>
    <xf numFmtId="15" fontId="18" fillId="0" borderId="49" xfId="0" applyNumberFormat="1" applyFont="1" applyBorder="1" applyAlignment="1">
      <alignment horizontal="center"/>
    </xf>
    <xf numFmtId="0" fontId="18" fillId="0" borderId="49" xfId="0" applyFont="1" applyBorder="1" applyAlignment="1">
      <alignment horizontal="center" vertical="center"/>
    </xf>
    <xf numFmtId="0" fontId="10" fillId="0" borderId="49" xfId="7" applyFont="1" applyFill="1" applyBorder="1" applyAlignment="1">
      <alignment horizontal="right"/>
    </xf>
    <xf numFmtId="0" fontId="10" fillId="0" borderId="49" xfId="7" applyFont="1" applyFill="1" applyBorder="1" applyAlignment="1">
      <alignment horizontal="center" textRotation="90"/>
    </xf>
    <xf numFmtId="0" fontId="10" fillId="0" borderId="49" xfId="6" applyFont="1" applyBorder="1" applyAlignment="1">
      <alignment horizontal="center" textRotation="90"/>
    </xf>
    <xf numFmtId="0" fontId="10" fillId="0" borderId="47" xfId="7" applyFont="1" applyFill="1" applyBorder="1" applyAlignment="1">
      <alignment horizontal="center" textRotation="90"/>
    </xf>
    <xf numFmtId="0" fontId="10" fillId="3" borderId="49" xfId="7" applyFont="1" applyFill="1" applyBorder="1" applyAlignment="1">
      <alignment horizontal="center" textRotation="90" wrapText="1"/>
    </xf>
    <xf numFmtId="0" fontId="10" fillId="0" borderId="49" xfId="7" applyFont="1" applyBorder="1" applyAlignment="1">
      <alignment horizontal="center"/>
    </xf>
    <xf numFmtId="0" fontId="10" fillId="0" borderId="49" xfId="7" applyFont="1" applyBorder="1" applyAlignment="1">
      <alignment horizontal="left"/>
    </xf>
    <xf numFmtId="2" fontId="10" fillId="0" borderId="49" xfId="7" applyNumberFormat="1" applyFont="1" applyFill="1" applyBorder="1" applyAlignment="1">
      <alignment horizontal="center"/>
    </xf>
    <xf numFmtId="2" fontId="10" fillId="0" borderId="47" xfId="7" applyNumberFormat="1" applyFont="1" applyFill="1" applyBorder="1" applyAlignment="1">
      <alignment horizontal="center"/>
    </xf>
    <xf numFmtId="0" fontId="10" fillId="0" borderId="49" xfId="7" applyFont="1" applyBorder="1"/>
    <xf numFmtId="9" fontId="10" fillId="0" borderId="50" xfId="5" applyFont="1" applyFill="1" applyBorder="1" applyAlignment="1">
      <alignment horizontal="center"/>
    </xf>
    <xf numFmtId="0" fontId="13" fillId="0" borderId="47" xfId="7" applyFont="1" applyBorder="1"/>
    <xf numFmtId="9" fontId="10" fillId="0" borderId="47" xfId="5" applyFont="1" applyFill="1" applyBorder="1" applyAlignment="1">
      <alignment horizontal="center"/>
    </xf>
    <xf numFmtId="9" fontId="10" fillId="0" borderId="49" xfId="5" applyFont="1" applyFill="1" applyBorder="1" applyAlignment="1">
      <alignment horizontal="center"/>
    </xf>
    <xf numFmtId="0" fontId="9" fillId="0" borderId="49" xfId="0" applyFont="1" applyBorder="1" applyAlignment="1">
      <alignment horizontal="center"/>
    </xf>
    <xf numFmtId="0" fontId="10" fillId="0" borderId="49" xfId="7" applyFont="1" applyFill="1" applyBorder="1"/>
    <xf numFmtId="1" fontId="10" fillId="0" borderId="49" xfId="1" applyNumberFormat="1" applyFont="1" applyFill="1" applyBorder="1" applyAlignment="1">
      <alignment horizontal="center"/>
    </xf>
    <xf numFmtId="165" fontId="10" fillId="0" borderId="49" xfId="1" applyNumberFormat="1" applyFont="1" applyFill="1" applyBorder="1" applyAlignment="1">
      <alignment horizontal="center"/>
    </xf>
    <xf numFmtId="165" fontId="10" fillId="0" borderId="47" xfId="1" applyNumberFormat="1" applyFont="1" applyFill="1" applyBorder="1" applyAlignment="1">
      <alignment horizontal="center"/>
    </xf>
    <xf numFmtId="1" fontId="9" fillId="0" borderId="49" xfId="0" applyNumberFormat="1" applyFont="1" applyFill="1" applyBorder="1" applyAlignment="1">
      <alignment horizontal="right"/>
    </xf>
    <xf numFmtId="2" fontId="9" fillId="0" borderId="49" xfId="0" applyNumberFormat="1" applyFont="1" applyFill="1" applyBorder="1" applyAlignment="1">
      <alignment horizontal="center"/>
    </xf>
    <xf numFmtId="165" fontId="10" fillId="3" borderId="49" xfId="8" applyNumberFormat="1" applyFont="1" applyFill="1" applyBorder="1" applyAlignment="1">
      <alignment horizontal="center"/>
    </xf>
    <xf numFmtId="165" fontId="10" fillId="3" borderId="47" xfId="8" applyNumberFormat="1" applyFont="1" applyFill="1" applyBorder="1" applyAlignment="1">
      <alignment horizontal="center"/>
    </xf>
    <xf numFmtId="0" fontId="9" fillId="0" borderId="49" xfId="0" applyFont="1" applyFill="1" applyBorder="1" applyAlignment="1">
      <alignment horizontal="center"/>
    </xf>
    <xf numFmtId="0" fontId="9" fillId="4" borderId="49" xfId="0" applyFont="1" applyFill="1" applyBorder="1" applyAlignment="1">
      <alignment horizontal="right"/>
    </xf>
    <xf numFmtId="2" fontId="9" fillId="4" borderId="49" xfId="0" applyNumberFormat="1" applyFont="1" applyFill="1" applyBorder="1" applyAlignment="1">
      <alignment horizontal="center"/>
    </xf>
    <xf numFmtId="164" fontId="9" fillId="2" borderId="49" xfId="0" applyNumberFormat="1" applyFont="1" applyFill="1" applyBorder="1" applyAlignment="1">
      <alignment horizontal="center"/>
    </xf>
    <xf numFmtId="0" fontId="11" fillId="0" borderId="47" xfId="7" applyFont="1" applyFill="1" applyBorder="1"/>
    <xf numFmtId="164" fontId="12" fillId="0" borderId="47" xfId="7" applyNumberFormat="1" applyFont="1" applyFill="1" applyBorder="1" applyAlignment="1">
      <alignment horizontal="center"/>
    </xf>
    <xf numFmtId="164" fontId="9" fillId="2" borderId="54" xfId="0" applyNumberFormat="1" applyFont="1" applyFill="1" applyBorder="1" applyAlignment="1">
      <alignment horizontal="center"/>
    </xf>
    <xf numFmtId="2" fontId="9" fillId="0" borderId="54" xfId="0" applyNumberFormat="1" applyFont="1" applyFill="1" applyBorder="1" applyAlignment="1">
      <alignment horizontal="center"/>
    </xf>
    <xf numFmtId="9" fontId="10" fillId="0" borderId="49" xfId="5" applyNumberFormat="1" applyFont="1" applyBorder="1" applyAlignment="1">
      <alignment horizontal="center"/>
    </xf>
    <xf numFmtId="9" fontId="10" fillId="0" borderId="47" xfId="5" applyNumberFormat="1" applyFont="1" applyBorder="1" applyAlignment="1">
      <alignment horizontal="center"/>
    </xf>
    <xf numFmtId="0" fontId="10" fillId="0" borderId="49" xfId="7" applyFont="1" applyBorder="1" applyAlignment="1">
      <alignment horizontal="right"/>
    </xf>
    <xf numFmtId="9" fontId="10" fillId="0" borderId="49" xfId="5" applyFont="1" applyBorder="1" applyAlignment="1">
      <alignment horizontal="center"/>
    </xf>
    <xf numFmtId="2" fontId="9" fillId="5" borderId="49" xfId="0" applyNumberFormat="1" applyFont="1" applyFill="1" applyBorder="1" applyAlignment="1">
      <alignment horizontal="center"/>
    </xf>
    <xf numFmtId="2" fontId="10" fillId="0" borderId="49" xfId="6" applyNumberFormat="1" applyFont="1" applyFill="1" applyBorder="1" applyAlignment="1">
      <alignment horizontal="center"/>
    </xf>
    <xf numFmtId="2" fontId="10" fillId="0" borderId="47" xfId="6" applyNumberFormat="1" applyFont="1" applyFill="1" applyBorder="1" applyAlignment="1">
      <alignment horizontal="center"/>
    </xf>
    <xf numFmtId="0" fontId="10" fillId="0" borderId="47" xfId="7" applyFont="1" applyFill="1" applyBorder="1"/>
    <xf numFmtId="2" fontId="10" fillId="0" borderId="49" xfId="0" applyNumberFormat="1" applyFont="1" applyBorder="1" applyAlignment="1">
      <alignment horizontal="center"/>
    </xf>
    <xf numFmtId="0" fontId="13" fillId="0" borderId="47" xfId="0" applyFont="1" applyFill="1" applyBorder="1" applyAlignment="1"/>
    <xf numFmtId="2" fontId="10" fillId="0" borderId="47" xfId="0" applyNumberFormat="1" applyFont="1" applyBorder="1" applyAlignment="1">
      <alignment horizontal="center" vertical="center"/>
    </xf>
    <xf numFmtId="2" fontId="10" fillId="0" borderId="49" xfId="7" applyNumberFormat="1" applyFont="1" applyBorder="1" applyAlignment="1">
      <alignment horizontal="center"/>
    </xf>
    <xf numFmtId="0" fontId="10" fillId="0" borderId="49" xfId="0" applyFont="1" applyBorder="1" applyAlignment="1">
      <alignment horizontal="left"/>
    </xf>
    <xf numFmtId="2" fontId="10" fillId="0" borderId="49" xfId="0" applyNumberFormat="1" applyFont="1" applyBorder="1" applyAlignment="1">
      <alignment horizontal="center" vertical="center"/>
    </xf>
    <xf numFmtId="0" fontId="10" fillId="0" borderId="49" xfId="0" applyFont="1" applyBorder="1"/>
    <xf numFmtId="0" fontId="16" fillId="0" borderId="49" xfId="16" applyFont="1" applyBorder="1"/>
    <xf numFmtId="0" fontId="15" fillId="0" borderId="47" xfId="0" applyFont="1" applyFill="1" applyBorder="1" applyAlignment="1"/>
    <xf numFmtId="2" fontId="10" fillId="0" borderId="47" xfId="0" applyNumberFormat="1" applyFont="1" applyFill="1" applyBorder="1" applyAlignment="1">
      <alignment horizontal="center"/>
    </xf>
    <xf numFmtId="2" fontId="10" fillId="0" borderId="49" xfId="0" applyNumberFormat="1" applyFont="1" applyFill="1" applyBorder="1" applyAlignment="1">
      <alignment horizontal="center"/>
    </xf>
    <xf numFmtId="0" fontId="10" fillId="4" borderId="49" xfId="0" applyFont="1" applyFill="1" applyBorder="1" applyAlignment="1">
      <alignment horizontal="left"/>
    </xf>
    <xf numFmtId="0" fontId="10" fillId="6" borderId="48" xfId="0" applyNumberFormat="1" applyFont="1" applyFill="1" applyBorder="1" applyAlignment="1">
      <alignment horizontal="center"/>
    </xf>
    <xf numFmtId="0" fontId="10" fillId="6" borderId="49" xfId="0" applyNumberFormat="1" applyFont="1" applyFill="1" applyBorder="1" applyAlignment="1">
      <alignment horizontal="center"/>
    </xf>
    <xf numFmtId="0" fontId="10" fillId="0" borderId="49" xfId="0" applyFont="1" applyFill="1" applyBorder="1" applyAlignment="1">
      <alignment horizontal="left"/>
    </xf>
    <xf numFmtId="0" fontId="10" fillId="0" borderId="48" xfId="0" applyNumberFormat="1" applyFont="1" applyFill="1" applyBorder="1" applyAlignment="1">
      <alignment horizontal="center"/>
    </xf>
    <xf numFmtId="0" fontId="10" fillId="0" borderId="49" xfId="0" applyNumberFormat="1" applyFont="1" applyFill="1" applyBorder="1" applyAlignment="1">
      <alignment horizontal="center"/>
    </xf>
    <xf numFmtId="0" fontId="10" fillId="0" borderId="50" xfId="0" applyNumberFormat="1" applyFont="1" applyFill="1" applyBorder="1" applyAlignment="1">
      <alignment horizontal="center"/>
    </xf>
    <xf numFmtId="0" fontId="13" fillId="0" borderId="47" xfId="0" applyFont="1" applyFill="1" applyBorder="1" applyAlignment="1">
      <alignment horizontal="left"/>
    </xf>
    <xf numFmtId="0" fontId="13" fillId="0" borderId="47" xfId="0" applyNumberFormat="1" applyFont="1" applyFill="1" applyBorder="1" applyAlignment="1">
      <alignment horizontal="center"/>
    </xf>
    <xf numFmtId="0" fontId="10" fillId="6" borderId="49" xfId="0" applyFont="1" applyFill="1" applyBorder="1" applyAlignment="1">
      <alignment horizontal="left"/>
    </xf>
    <xf numFmtId="0" fontId="10" fillId="6" borderId="49" xfId="0" applyFont="1" applyFill="1" applyBorder="1" applyAlignment="1">
      <alignment horizontal="center"/>
    </xf>
    <xf numFmtId="0" fontId="10" fillId="6" borderId="47" xfId="0" applyFont="1" applyFill="1" applyBorder="1" applyAlignment="1">
      <alignment horizontal="center"/>
    </xf>
    <xf numFmtId="0" fontId="10" fillId="0" borderId="49" xfId="0" applyFont="1" applyFill="1" applyBorder="1" applyAlignment="1">
      <alignment horizontal="center"/>
    </xf>
    <xf numFmtId="0" fontId="10" fillId="0" borderId="47" xfId="0" applyFont="1" applyFill="1" applyBorder="1" applyAlignment="1">
      <alignment horizontal="center"/>
    </xf>
    <xf numFmtId="0" fontId="10" fillId="0" borderId="54" xfId="0" applyFont="1" applyFill="1" applyBorder="1" applyAlignment="1">
      <alignment horizontal="left"/>
    </xf>
    <xf numFmtId="0" fontId="10" fillId="0" borderId="54" xfId="0" applyFont="1" applyFill="1" applyBorder="1" applyAlignment="1">
      <alignment horizontal="center"/>
    </xf>
    <xf numFmtId="0" fontId="10" fillId="0" borderId="54" xfId="0" applyNumberFormat="1" applyFont="1" applyFill="1" applyBorder="1" applyAlignment="1">
      <alignment horizontal="center"/>
    </xf>
    <xf numFmtId="0" fontId="14" fillId="0" borderId="47" xfId="7" applyFont="1" applyFill="1" applyBorder="1" applyAlignment="1">
      <alignment horizontal="center"/>
    </xf>
    <xf numFmtId="1" fontId="14" fillId="0" borderId="49" xfId="7" applyNumberFormat="1" applyFont="1" applyFill="1" applyBorder="1" applyAlignment="1">
      <alignment horizontal="center"/>
    </xf>
    <xf numFmtId="0" fontId="14" fillId="0" borderId="49" xfId="7" applyFont="1" applyFill="1" applyBorder="1" applyAlignment="1">
      <alignment horizontal="center"/>
    </xf>
    <xf numFmtId="1" fontId="14" fillId="0" borderId="49" xfId="6" applyNumberFormat="1" applyFont="1" applyFill="1" applyBorder="1" applyAlignment="1">
      <alignment horizontal="center"/>
    </xf>
    <xf numFmtId="1" fontId="14" fillId="0" borderId="47" xfId="6" applyNumberFormat="1" applyFont="1" applyFill="1" applyBorder="1" applyAlignment="1">
      <alignment horizontal="center"/>
    </xf>
    <xf numFmtId="0" fontId="11" fillId="0" borderId="47" xfId="28" applyFont="1" applyFill="1" applyBorder="1"/>
    <xf numFmtId="0" fontId="9" fillId="0" borderId="47" xfId="9" applyFont="1" applyFill="1" applyBorder="1"/>
    <xf numFmtId="0" fontId="9" fillId="0" borderId="49" xfId="9" applyFont="1" applyFill="1" applyBorder="1"/>
    <xf numFmtId="9" fontId="10" fillId="0" borderId="49" xfId="7" applyNumberFormat="1" applyFont="1" applyBorder="1"/>
    <xf numFmtId="9" fontId="10" fillId="0" borderId="47" xfId="7" applyNumberFormat="1" applyFont="1" applyBorder="1"/>
    <xf numFmtId="0" fontId="15" fillId="6" borderId="51" xfId="7" applyFont="1" applyFill="1" applyBorder="1" applyAlignment="1">
      <alignment horizontal="right"/>
    </xf>
    <xf numFmtId="2" fontId="10" fillId="6" borderId="49" xfId="7" applyNumberFormat="1" applyFont="1" applyFill="1" applyBorder="1" applyAlignment="1">
      <alignment horizontal="center"/>
    </xf>
    <xf numFmtId="2" fontId="10" fillId="6" borderId="47" xfId="7" applyNumberFormat="1" applyFont="1" applyFill="1" applyBorder="1" applyAlignment="1">
      <alignment horizontal="center"/>
    </xf>
    <xf numFmtId="2" fontId="10" fillId="6" borderId="52" xfId="7" applyNumberFormat="1" applyFont="1" applyFill="1" applyBorder="1" applyAlignment="1">
      <alignment horizontal="center"/>
    </xf>
    <xf numFmtId="2" fontId="13" fillId="6" borderId="49" xfId="7" applyNumberFormat="1" applyFont="1" applyFill="1" applyBorder="1" applyAlignment="1">
      <alignment horizontal="center"/>
    </xf>
    <xf numFmtId="2" fontId="13" fillId="6" borderId="47" xfId="7" applyNumberFormat="1" applyFont="1" applyFill="1" applyBorder="1" applyAlignment="1">
      <alignment horizontal="center"/>
    </xf>
    <xf numFmtId="2" fontId="13" fillId="6" borderId="52" xfId="7" applyNumberFormat="1" applyFont="1" applyFill="1" applyBorder="1" applyAlignment="1">
      <alignment horizontal="center"/>
    </xf>
    <xf numFmtId="0" fontId="15" fillId="6" borderId="53" xfId="7" applyFont="1" applyFill="1" applyBorder="1" applyAlignment="1">
      <alignment horizontal="right"/>
    </xf>
    <xf numFmtId="2" fontId="10" fillId="6" borderId="54" xfId="7" applyNumberFormat="1" applyFont="1" applyFill="1" applyBorder="1" applyAlignment="1">
      <alignment horizontal="center"/>
    </xf>
    <xf numFmtId="2" fontId="10" fillId="6" borderId="44" xfId="7" applyNumberFormat="1" applyFont="1" applyFill="1" applyBorder="1" applyAlignment="1">
      <alignment horizontal="center"/>
    </xf>
    <xf numFmtId="2" fontId="10" fillId="6" borderId="55" xfId="7" applyNumberFormat="1" applyFont="1" applyFill="1" applyBorder="1" applyAlignment="1">
      <alignment horizontal="center"/>
    </xf>
    <xf numFmtId="0" fontId="9" fillId="6" borderId="53" xfId="7" applyFont="1" applyFill="1" applyBorder="1" applyAlignment="1">
      <alignment horizontal="right"/>
    </xf>
    <xf numFmtId="2" fontId="27" fillId="6" borderId="55" xfId="7" applyNumberFormat="1" applyFont="1" applyFill="1" applyBorder="1" applyAlignment="1">
      <alignment horizontal="right"/>
    </xf>
    <xf numFmtId="0" fontId="10" fillId="6" borderId="51" xfId="7" applyFont="1" applyFill="1" applyBorder="1"/>
    <xf numFmtId="0" fontId="14" fillId="6" borderId="52" xfId="7" applyFont="1" applyFill="1" applyBorder="1" applyAlignment="1">
      <alignment horizontal="center"/>
    </xf>
    <xf numFmtId="1" fontId="14" fillId="6" borderId="52" xfId="7" applyNumberFormat="1" applyFont="1" applyFill="1" applyBorder="1" applyAlignment="1">
      <alignment horizontal="center"/>
    </xf>
    <xf numFmtId="0" fontId="10" fillId="6" borderId="52" xfId="7" applyFont="1" applyFill="1" applyBorder="1" applyAlignment="1">
      <alignment horizontal="center" vertical="center"/>
    </xf>
    <xf numFmtId="0" fontId="10" fillId="6" borderId="52" xfId="7" applyFont="1" applyFill="1" applyBorder="1" applyAlignment="1">
      <alignment horizontal="center"/>
    </xf>
    <xf numFmtId="0" fontId="10" fillId="6" borderId="53" xfId="7" applyFont="1" applyFill="1" applyBorder="1"/>
    <xf numFmtId="0" fontId="10" fillId="6" borderId="55" xfId="7" applyFont="1" applyFill="1" applyBorder="1" applyAlignment="1">
      <alignment horizontal="center" vertical="center"/>
    </xf>
    <xf numFmtId="0" fontId="10" fillId="6" borderId="53" xfId="7" applyFont="1" applyFill="1" applyBorder="1" applyAlignment="1">
      <alignment horizontal="right"/>
    </xf>
    <xf numFmtId="0" fontId="10" fillId="6" borderId="54" xfId="7" applyFont="1" applyFill="1" applyBorder="1" applyAlignment="1">
      <alignment horizontal="center"/>
    </xf>
    <xf numFmtId="0" fontId="10" fillId="6" borderId="55" xfId="7" applyFont="1" applyFill="1" applyBorder="1" applyAlignment="1">
      <alignment horizontal="center"/>
    </xf>
    <xf numFmtId="0" fontId="10" fillId="4" borderId="54" xfId="0" applyFont="1" applyFill="1" applyBorder="1" applyAlignment="1">
      <alignment horizontal="left"/>
    </xf>
    <xf numFmtId="0" fontId="15" fillId="0" borderId="51" xfId="16" applyFont="1" applyFill="1" applyBorder="1"/>
    <xf numFmtId="0" fontId="10" fillId="0" borderId="51" xfId="0" applyFont="1" applyFill="1" applyBorder="1"/>
    <xf numFmtId="2" fontId="10" fillId="12" borderId="49" xfId="16" applyNumberFormat="1" applyFont="1" applyFill="1" applyBorder="1" applyAlignment="1">
      <alignment horizontal="center"/>
    </xf>
    <xf numFmtId="2" fontId="10" fillId="13" borderId="49" xfId="16" applyNumberFormat="1" applyFont="1" applyFill="1" applyBorder="1" applyAlignment="1">
      <alignment horizontal="center"/>
    </xf>
    <xf numFmtId="2" fontId="10" fillId="14" borderId="49" xfId="16" applyNumberFormat="1" applyFont="1" applyFill="1" applyBorder="1" applyAlignment="1">
      <alignment horizontal="center"/>
    </xf>
    <xf numFmtId="2" fontId="10" fillId="14" borderId="52" xfId="16" applyNumberFormat="1" applyFont="1" applyFill="1" applyBorder="1" applyAlignment="1">
      <alignment horizontal="center"/>
    </xf>
    <xf numFmtId="0" fontId="16" fillId="0" borderId="47" xfId="16" applyFont="1" applyFill="1" applyBorder="1"/>
    <xf numFmtId="2" fontId="10" fillId="13" borderId="50" xfId="16" applyNumberFormat="1" applyFont="1" applyFill="1" applyBorder="1" applyAlignment="1">
      <alignment horizontal="center"/>
    </xf>
    <xf numFmtId="2" fontId="10" fillId="12" borderId="50" xfId="16" applyNumberFormat="1" applyFont="1" applyFill="1" applyBorder="1" applyAlignment="1">
      <alignment horizontal="center"/>
    </xf>
    <xf numFmtId="0" fontId="10" fillId="0" borderId="53" xfId="0" applyFont="1" applyFill="1" applyBorder="1"/>
    <xf numFmtId="2" fontId="10" fillId="12" borderId="54" xfId="16" applyNumberFormat="1" applyFont="1" applyFill="1" applyBorder="1" applyAlignment="1">
      <alignment horizontal="center"/>
    </xf>
    <xf numFmtId="2" fontId="10" fillId="13" borderId="54" xfId="16" applyNumberFormat="1" applyFont="1" applyFill="1" applyBorder="1" applyAlignment="1">
      <alignment horizontal="center"/>
    </xf>
    <xf numFmtId="2" fontId="10" fillId="14" borderId="54" xfId="16" applyNumberFormat="1" applyFont="1" applyFill="1" applyBorder="1" applyAlignment="1">
      <alignment horizontal="center"/>
    </xf>
    <xf numFmtId="2" fontId="10" fillId="14" borderId="55" xfId="16" applyNumberFormat="1" applyFont="1" applyFill="1" applyBorder="1" applyAlignment="1">
      <alignment horizontal="center"/>
    </xf>
    <xf numFmtId="0" fontId="31" fillId="0" borderId="49" xfId="9" applyFont="1" applyBorder="1"/>
    <xf numFmtId="9" fontId="10" fillId="0" borderId="49" xfId="5" applyFont="1" applyBorder="1"/>
    <xf numFmtId="0" fontId="10" fillId="0" borderId="47" xfId="0" applyFont="1" applyFill="1" applyBorder="1" applyAlignment="1">
      <alignment horizontal="left"/>
    </xf>
    <xf numFmtId="0" fontId="10" fillId="0" borderId="44" xfId="0" applyFont="1" applyFill="1" applyBorder="1" applyAlignment="1">
      <alignment horizontal="left"/>
    </xf>
    <xf numFmtId="0" fontId="10" fillId="0" borderId="51" xfId="0" applyFont="1" applyBorder="1" applyAlignment="1">
      <alignment horizontal="left"/>
    </xf>
    <xf numFmtId="0" fontId="10" fillId="0" borderId="49" xfId="6" applyFont="1" applyFill="1" applyBorder="1" applyAlignment="1">
      <alignment horizontal="right"/>
    </xf>
    <xf numFmtId="0" fontId="10" fillId="0" borderId="49" xfId="6" applyFont="1" applyFill="1" applyBorder="1" applyAlignment="1">
      <alignment horizontal="center" textRotation="90"/>
    </xf>
    <xf numFmtId="0" fontId="14" fillId="0" borderId="49" xfId="6" applyFont="1" applyFill="1" applyBorder="1" applyAlignment="1">
      <alignment horizontal="center"/>
    </xf>
    <xf numFmtId="0" fontId="10" fillId="0" borderId="49" xfId="6" applyFont="1" applyFill="1" applyBorder="1" applyAlignment="1">
      <alignment horizontal="center"/>
    </xf>
    <xf numFmtId="165" fontId="10" fillId="0" borderId="48" xfId="1" applyNumberFormat="1" applyFont="1" applyFill="1" applyBorder="1" applyAlignment="1">
      <alignment horizontal="center"/>
    </xf>
    <xf numFmtId="164" fontId="12" fillId="0" borderId="48" xfId="7" applyNumberFormat="1" applyFont="1" applyFill="1" applyBorder="1" applyAlignment="1">
      <alignment horizontal="center"/>
    </xf>
    <xf numFmtId="0" fontId="10" fillId="0" borderId="47" xfId="0" applyFont="1" applyFill="1" applyBorder="1"/>
    <xf numFmtId="0" fontId="10" fillId="0" borderId="49" xfId="0" applyFont="1" applyFill="1" applyBorder="1"/>
    <xf numFmtId="2" fontId="10" fillId="0" borderId="50" xfId="0" applyNumberFormat="1" applyFont="1" applyFill="1" applyBorder="1" applyAlignment="1">
      <alignment horizontal="center"/>
    </xf>
    <xf numFmtId="2" fontId="10" fillId="0" borderId="48" xfId="0" applyNumberFormat="1" applyFont="1" applyFill="1" applyBorder="1" applyAlignment="1">
      <alignment horizontal="center"/>
    </xf>
    <xf numFmtId="0" fontId="10" fillId="6" borderId="47" xfId="0" applyFont="1" applyFill="1" applyBorder="1" applyAlignment="1">
      <alignment horizontal="left"/>
    </xf>
    <xf numFmtId="0" fontId="13" fillId="0" borderId="48" xfId="0" applyNumberFormat="1" applyFont="1" applyFill="1" applyBorder="1" applyAlignment="1">
      <alignment horizontal="center"/>
    </xf>
    <xf numFmtId="0" fontId="13" fillId="0" borderId="49" xfId="0" applyNumberFormat="1" applyFont="1" applyFill="1" applyBorder="1" applyAlignment="1">
      <alignment horizontal="center"/>
    </xf>
    <xf numFmtId="0" fontId="14" fillId="0" borderId="47" xfId="7" applyFont="1" applyBorder="1" applyAlignment="1">
      <alignment horizontal="center"/>
    </xf>
    <xf numFmtId="1" fontId="14" fillId="0" borderId="49" xfId="7" applyNumberFormat="1" applyFont="1" applyBorder="1" applyAlignment="1">
      <alignment horizontal="center"/>
    </xf>
    <xf numFmtId="0" fontId="26" fillId="0" borderId="48" xfId="9" applyNumberFormat="1" applyFont="1" applyFill="1" applyBorder="1" applyAlignment="1">
      <alignment horizontal="center"/>
    </xf>
    <xf numFmtId="0" fontId="10" fillId="0" borderId="47" xfId="6" applyFont="1" applyFill="1" applyBorder="1" applyAlignment="1">
      <alignment horizontal="center" textRotation="90"/>
    </xf>
    <xf numFmtId="0" fontId="14" fillId="0" borderId="47" xfId="6" applyFont="1" applyFill="1" applyBorder="1" applyAlignment="1">
      <alignment horizontal="center"/>
    </xf>
    <xf numFmtId="0" fontId="10" fillId="0" borderId="47" xfId="6" applyFont="1" applyFill="1" applyBorder="1" applyAlignment="1">
      <alignment horizontal="center"/>
    </xf>
    <xf numFmtId="0" fontId="10" fillId="0" borderId="48" xfId="7" applyFont="1" applyFill="1" applyBorder="1" applyAlignment="1">
      <alignment horizontal="center" vertical="center"/>
    </xf>
    <xf numFmtId="9" fontId="9" fillId="0" borderId="50" xfId="5" applyFont="1" applyFill="1" applyBorder="1" applyAlignment="1">
      <alignment horizontal="center"/>
    </xf>
    <xf numFmtId="9" fontId="9" fillId="0" borderId="47" xfId="5" applyFont="1" applyFill="1" applyBorder="1" applyAlignment="1">
      <alignment horizontal="center"/>
    </xf>
    <xf numFmtId="9" fontId="9" fillId="0" borderId="48" xfId="5" applyFont="1" applyFill="1" applyBorder="1" applyAlignment="1">
      <alignment horizontal="center"/>
    </xf>
    <xf numFmtId="164" fontId="12" fillId="0" borderId="49" xfId="7" applyNumberFormat="1" applyFont="1" applyFill="1" applyBorder="1" applyAlignment="1">
      <alignment horizontal="center"/>
    </xf>
    <xf numFmtId="9" fontId="10" fillId="0" borderId="47" xfId="5" applyFont="1" applyBorder="1" applyAlignment="1">
      <alignment horizontal="center"/>
    </xf>
    <xf numFmtId="0" fontId="10" fillId="6" borderId="47" xfId="0" applyNumberFormat="1" applyFont="1" applyFill="1" applyBorder="1" applyAlignment="1">
      <alignment horizontal="center"/>
    </xf>
    <xf numFmtId="0" fontId="10" fillId="0" borderId="47" xfId="0" applyNumberFormat="1" applyFont="1" applyFill="1" applyBorder="1" applyAlignment="1">
      <alignment horizontal="center"/>
    </xf>
    <xf numFmtId="0" fontId="14" fillId="0" borderId="49" xfId="7" applyFont="1" applyBorder="1" applyAlignment="1">
      <alignment horizontal="center"/>
    </xf>
    <xf numFmtId="0" fontId="14" fillId="0" borderId="50" xfId="7" applyFont="1" applyFill="1" applyBorder="1" applyAlignment="1">
      <alignment horizontal="center"/>
    </xf>
    <xf numFmtId="0" fontId="10" fillId="0" borderId="47" xfId="6" applyFont="1" applyBorder="1" applyAlignment="1">
      <alignment horizontal="center" textRotation="90"/>
    </xf>
    <xf numFmtId="0" fontId="10" fillId="0" borderId="49" xfId="6" applyFont="1" applyBorder="1" applyAlignment="1">
      <alignment horizontal="center"/>
    </xf>
    <xf numFmtId="0" fontId="10" fillId="0" borderId="47" xfId="6" applyFont="1" applyBorder="1" applyAlignment="1">
      <alignment horizontal="center"/>
    </xf>
    <xf numFmtId="0" fontId="10" fillId="0" borderId="49" xfId="0" applyFont="1" applyBorder="1" applyAlignment="1">
      <alignment horizontal="center"/>
    </xf>
    <xf numFmtId="0" fontId="10" fillId="0" borderId="48" xfId="0" applyFont="1" applyBorder="1" applyAlignment="1">
      <alignment horizontal="center"/>
    </xf>
    <xf numFmtId="9" fontId="9" fillId="0" borderId="49" xfId="5" applyFont="1" applyFill="1" applyBorder="1" applyAlignment="1">
      <alignment horizontal="center"/>
    </xf>
    <xf numFmtId="0" fontId="10" fillId="0" borderId="49" xfId="6" applyFont="1" applyFill="1" applyBorder="1" applyAlignment="1">
      <alignment horizontal="left"/>
    </xf>
    <xf numFmtId="2" fontId="10" fillId="0" borderId="50" xfId="6" applyNumberFormat="1" applyFont="1" applyFill="1" applyBorder="1" applyAlignment="1">
      <alignment horizontal="center"/>
    </xf>
    <xf numFmtId="0" fontId="10" fillId="0" borderId="47" xfId="6" applyFont="1" applyFill="1" applyBorder="1" applyAlignment="1">
      <alignment horizontal="left"/>
    </xf>
    <xf numFmtId="0" fontId="13" fillId="0" borderId="47" xfId="6" applyFont="1" applyFill="1" applyBorder="1" applyAlignment="1"/>
    <xf numFmtId="0" fontId="10" fillId="6" borderId="49" xfId="6" applyFont="1" applyFill="1" applyBorder="1" applyAlignment="1">
      <alignment horizontal="left"/>
    </xf>
    <xf numFmtId="0" fontId="10" fillId="6" borderId="49" xfId="6" applyNumberFormat="1" applyFont="1" applyFill="1" applyBorder="1" applyAlignment="1">
      <alignment horizontal="center"/>
    </xf>
    <xf numFmtId="0" fontId="10" fillId="6" borderId="47" xfId="6" applyNumberFormat="1" applyFont="1" applyFill="1" applyBorder="1" applyAlignment="1">
      <alignment horizontal="center"/>
    </xf>
    <xf numFmtId="0" fontId="10" fillId="0" borderId="49" xfId="6" applyNumberFormat="1" applyFont="1" applyFill="1" applyBorder="1" applyAlignment="1">
      <alignment horizontal="center"/>
    </xf>
    <xf numFmtId="0" fontId="10" fillId="0" borderId="47" xfId="6" applyNumberFormat="1" applyFont="1" applyFill="1" applyBorder="1" applyAlignment="1">
      <alignment horizontal="center"/>
    </xf>
    <xf numFmtId="0" fontId="10" fillId="0" borderId="50" xfId="6" applyNumberFormat="1" applyFont="1" applyFill="1" applyBorder="1" applyAlignment="1">
      <alignment horizontal="center"/>
    </xf>
    <xf numFmtId="0" fontId="13" fillId="0" borderId="47" xfId="6" applyFont="1" applyFill="1" applyBorder="1" applyAlignment="1">
      <alignment horizontal="left"/>
    </xf>
    <xf numFmtId="0" fontId="10" fillId="6" borderId="49" xfId="6" applyFont="1" applyFill="1" applyBorder="1" applyAlignment="1">
      <alignment horizontal="center"/>
    </xf>
    <xf numFmtId="0" fontId="10" fillId="6" borderId="47" xfId="6" applyFont="1" applyFill="1" applyBorder="1" applyAlignment="1">
      <alignment horizontal="center"/>
    </xf>
    <xf numFmtId="0" fontId="10" fillId="0" borderId="54" xfId="6" applyFont="1" applyFill="1" applyBorder="1" applyAlignment="1">
      <alignment horizontal="left"/>
    </xf>
    <xf numFmtId="0" fontId="10" fillId="0" borderId="54" xfId="6" applyFont="1" applyFill="1" applyBorder="1" applyAlignment="1">
      <alignment horizontal="center"/>
    </xf>
    <xf numFmtId="0" fontId="10" fillId="0" borderId="54" xfId="6" applyNumberFormat="1" applyFont="1" applyFill="1" applyBorder="1" applyAlignment="1">
      <alignment horizontal="center"/>
    </xf>
    <xf numFmtId="2" fontId="33" fillId="6" borderId="49" xfId="7" applyNumberFormat="1" applyFont="1" applyFill="1" applyBorder="1" applyAlignment="1">
      <alignment horizontal="center"/>
    </xf>
    <xf numFmtId="2" fontId="33" fillId="6" borderId="52" xfId="7" applyNumberFormat="1" applyFont="1" applyFill="1" applyBorder="1" applyAlignment="1">
      <alignment horizontal="center"/>
    </xf>
    <xf numFmtId="0" fontId="31" fillId="6" borderId="53" xfId="7" applyFont="1" applyFill="1" applyBorder="1" applyAlignment="1">
      <alignment horizontal="right"/>
    </xf>
    <xf numFmtId="2" fontId="34" fillId="6" borderId="55" xfId="7" applyNumberFormat="1" applyFont="1" applyFill="1" applyBorder="1" applyAlignment="1">
      <alignment horizontal="right"/>
    </xf>
    <xf numFmtId="0" fontId="10" fillId="4" borderId="49" xfId="6" applyFont="1" applyFill="1" applyBorder="1" applyAlignment="1">
      <alignment horizontal="left"/>
    </xf>
    <xf numFmtId="0" fontId="10" fillId="4" borderId="54" xfId="6" applyFont="1" applyFill="1" applyBorder="1" applyAlignment="1">
      <alignment horizontal="left"/>
    </xf>
    <xf numFmtId="0" fontId="10" fillId="3" borderId="49" xfId="7" applyFont="1" applyFill="1" applyBorder="1" applyAlignment="1">
      <alignment horizontal="center"/>
    </xf>
    <xf numFmtId="0" fontId="10" fillId="0" borderId="47" xfId="7" applyFont="1" applyFill="1" applyBorder="1" applyAlignment="1">
      <alignment horizontal="right"/>
    </xf>
    <xf numFmtId="0" fontId="42" fillId="0" borderId="47" xfId="7" applyFont="1" applyFill="1" applyBorder="1"/>
    <xf numFmtId="0" fontId="10" fillId="0" borderId="49" xfId="9" applyFont="1" applyBorder="1" applyAlignment="1">
      <alignment horizontal="center"/>
    </xf>
    <xf numFmtId="2" fontId="9" fillId="0" borderId="49" xfId="27" applyNumberFormat="1" applyFont="1" applyBorder="1" applyAlignment="1">
      <alignment horizontal="center"/>
    </xf>
    <xf numFmtId="2" fontId="10" fillId="0" borderId="49" xfId="29" applyNumberFormat="1" applyFont="1" applyBorder="1" applyAlignment="1">
      <alignment horizontal="center"/>
    </xf>
    <xf numFmtId="2" fontId="10" fillId="0" borderId="50" xfId="29" applyNumberFormat="1" applyFont="1" applyBorder="1" applyAlignment="1">
      <alignment horizontal="center"/>
    </xf>
    <xf numFmtId="0" fontId="10" fillId="0" borderId="49" xfId="9" applyFont="1" applyBorder="1"/>
    <xf numFmtId="0" fontId="57" fillId="6" borderId="49" xfId="6" applyFont="1" applyFill="1" applyBorder="1"/>
    <xf numFmtId="9" fontId="3" fillId="0" borderId="49" xfId="6" applyNumberFormat="1" applyBorder="1"/>
    <xf numFmtId="168" fontId="3" fillId="0" borderId="49" xfId="6" applyNumberFormat="1" applyBorder="1"/>
    <xf numFmtId="0" fontId="16" fillId="0" borderId="49" xfId="6" applyFont="1" applyBorder="1" applyAlignment="1">
      <alignment horizontal="left" vertical="center" wrapText="1"/>
    </xf>
    <xf numFmtId="0" fontId="58" fillId="0" borderId="49" xfId="6" applyFont="1" applyBorder="1"/>
    <xf numFmtId="0" fontId="16" fillId="3" borderId="57" xfId="6" applyFont="1" applyFill="1" applyBorder="1"/>
    <xf numFmtId="0" fontId="16" fillId="3" borderId="57" xfId="6" applyFont="1" applyFill="1" applyBorder="1" applyAlignment="1">
      <alignment wrapText="1"/>
    </xf>
    <xf numFmtId="0" fontId="3" fillId="0" borderId="43" xfId="6" applyFont="1" applyFill="1" applyBorder="1" applyAlignment="1">
      <alignment horizontal="left"/>
    </xf>
    <xf numFmtId="0" fontId="48" fillId="3" borderId="43" xfId="6" applyFont="1" applyFill="1" applyBorder="1" applyAlignment="1">
      <alignment horizontal="center"/>
    </xf>
    <xf numFmtId="0" fontId="3" fillId="6" borderId="43" xfId="6" applyFont="1" applyFill="1" applyBorder="1" applyAlignment="1">
      <alignment horizontal="left"/>
    </xf>
    <xf numFmtId="0" fontId="3" fillId="6" borderId="43" xfId="6" applyFont="1" applyFill="1" applyBorder="1" applyAlignment="1">
      <alignment horizontal="center"/>
    </xf>
    <xf numFmtId="0" fontId="3" fillId="3" borderId="43" xfId="6" applyFont="1" applyFill="1" applyBorder="1" applyAlignment="1">
      <alignment horizontal="center"/>
    </xf>
    <xf numFmtId="0" fontId="3" fillId="6" borderId="43" xfId="6" applyFill="1" applyBorder="1" applyAlignment="1">
      <alignment horizontal="center"/>
    </xf>
    <xf numFmtId="0" fontId="3" fillId="3" borderId="43" xfId="6" applyFill="1" applyBorder="1"/>
    <xf numFmtId="0" fontId="38" fillId="6" borderId="43" xfId="6" applyFont="1" applyFill="1" applyBorder="1" applyAlignment="1">
      <alignment vertical="top" wrapText="1"/>
    </xf>
    <xf numFmtId="0" fontId="3" fillId="6" borderId="43" xfId="6" applyFill="1" applyBorder="1"/>
    <xf numFmtId="0" fontId="3" fillId="3" borderId="43" xfId="6" applyFont="1" applyFill="1" applyBorder="1"/>
    <xf numFmtId="0" fontId="3" fillId="0" borderId="58" xfId="6" applyFont="1" applyFill="1" applyBorder="1" applyAlignment="1">
      <alignment horizontal="left"/>
    </xf>
    <xf numFmtId="0" fontId="3" fillId="3" borderId="57" xfId="6" applyFill="1" applyBorder="1"/>
    <xf numFmtId="0" fontId="18" fillId="0" borderId="49" xfId="6" applyFont="1" applyBorder="1" applyAlignment="1">
      <alignment horizontal="center" vertical="center" wrapText="1"/>
    </xf>
    <xf numFmtId="0" fontId="18" fillId="0" borderId="49" xfId="6" applyFont="1" applyBorder="1" applyAlignment="1">
      <alignment vertical="center" wrapText="1"/>
    </xf>
    <xf numFmtId="0" fontId="28" fillId="7" borderId="59" xfId="14" applyFont="1" applyFill="1" applyBorder="1" applyAlignment="1">
      <alignment horizontal="center"/>
    </xf>
    <xf numFmtId="0" fontId="28" fillId="0" borderId="60" xfId="14" applyFont="1" applyFill="1" applyBorder="1" applyAlignment="1">
      <alignment horizontal="right" wrapText="1"/>
    </xf>
    <xf numFmtId="14" fontId="28" fillId="0" borderId="60" xfId="14" applyNumberFormat="1" applyFont="1" applyFill="1" applyBorder="1" applyAlignment="1">
      <alignment horizontal="right" wrapText="1"/>
    </xf>
    <xf numFmtId="1" fontId="28" fillId="0" borderId="60" xfId="14" applyNumberFormat="1" applyFont="1" applyFill="1" applyBorder="1" applyAlignment="1">
      <alignment horizontal="right" wrapText="1"/>
    </xf>
    <xf numFmtId="2" fontId="28" fillId="0" borderId="60" xfId="14" applyNumberFormat="1" applyFont="1" applyFill="1" applyBorder="1" applyAlignment="1">
      <alignment horizontal="right" wrapText="1"/>
    </xf>
    <xf numFmtId="0" fontId="28" fillId="8" borderId="60" xfId="14" applyFont="1" applyFill="1" applyBorder="1" applyAlignment="1">
      <alignment horizontal="right" wrapText="1"/>
    </xf>
    <xf numFmtId="14" fontId="28" fillId="8" borderId="60" xfId="14" applyNumberFormat="1" applyFont="1" applyFill="1" applyBorder="1" applyAlignment="1">
      <alignment horizontal="right" wrapText="1"/>
    </xf>
    <xf numFmtId="1" fontId="28" fillId="8" borderId="60" xfId="14" applyNumberFormat="1" applyFont="1" applyFill="1" applyBorder="1" applyAlignment="1">
      <alignment horizontal="right" wrapText="1"/>
    </xf>
    <xf numFmtId="2" fontId="28" fillId="8" borderId="60" xfId="14" applyNumberFormat="1" applyFont="1" applyFill="1" applyBorder="1" applyAlignment="1">
      <alignment horizontal="right" wrapText="1"/>
    </xf>
    <xf numFmtId="0" fontId="17" fillId="0" borderId="18" xfId="0" applyFont="1" applyBorder="1" applyAlignment="1">
      <alignment horizontal="center"/>
    </xf>
    <xf numFmtId="0" fontId="17" fillId="0" borderId="19" xfId="0" applyFont="1" applyBorder="1" applyAlignment="1">
      <alignment horizontal="center"/>
    </xf>
    <xf numFmtId="0" fontId="25" fillId="2" borderId="49" xfId="0" applyFont="1" applyFill="1" applyBorder="1" applyAlignment="1">
      <alignment horizontal="center"/>
    </xf>
    <xf numFmtId="0" fontId="9" fillId="0" borderId="47" xfId="0" applyFont="1" applyFill="1" applyBorder="1" applyAlignment="1">
      <alignment horizontal="center"/>
    </xf>
    <xf numFmtId="0" fontId="9" fillId="0" borderId="48" xfId="0" applyFont="1" applyFill="1" applyBorder="1" applyAlignment="1">
      <alignment horizontal="center"/>
    </xf>
    <xf numFmtId="0" fontId="11" fillId="11" borderId="15" xfId="9" applyFont="1" applyFill="1" applyBorder="1" applyAlignment="1">
      <alignment horizontal="center"/>
    </xf>
    <xf numFmtId="0" fontId="11" fillId="11" borderId="21" xfId="9" applyFont="1" applyFill="1" applyBorder="1" applyAlignment="1">
      <alignment horizontal="center"/>
    </xf>
    <xf numFmtId="0" fontId="11" fillId="6" borderId="18" xfId="9" applyFont="1" applyFill="1" applyBorder="1" applyAlignment="1">
      <alignment horizontal="left"/>
    </xf>
    <xf numFmtId="0" fontId="11" fillId="6" borderId="19" xfId="9" applyFont="1" applyFill="1" applyBorder="1" applyAlignment="1">
      <alignment horizontal="left"/>
    </xf>
    <xf numFmtId="0" fontId="15" fillId="6" borderId="16" xfId="9" applyFont="1" applyFill="1" applyBorder="1" applyAlignment="1">
      <alignment horizontal="left"/>
    </xf>
    <xf numFmtId="0" fontId="15" fillId="6" borderId="17" xfId="9" applyFont="1" applyFill="1" applyBorder="1" applyAlignment="1">
      <alignment horizontal="left"/>
    </xf>
    <xf numFmtId="0" fontId="11" fillId="10" borderId="15" xfId="9" applyFont="1" applyFill="1" applyBorder="1" applyAlignment="1">
      <alignment horizontal="center"/>
    </xf>
    <xf numFmtId="0" fontId="11" fillId="9" borderId="15" xfId="9" applyFont="1" applyFill="1" applyBorder="1" applyAlignment="1">
      <alignment horizontal="center"/>
    </xf>
    <xf numFmtId="0" fontId="11" fillId="4" borderId="18" xfId="7" applyFont="1" applyFill="1" applyBorder="1" applyAlignment="1">
      <alignment horizontal="left"/>
    </xf>
    <xf numFmtId="0" fontId="11" fillId="4" borderId="23" xfId="7" applyFont="1" applyFill="1" applyBorder="1" applyAlignment="1">
      <alignment horizontal="left"/>
    </xf>
    <xf numFmtId="0" fontId="11" fillId="4" borderId="19" xfId="7" applyFont="1" applyFill="1" applyBorder="1" applyAlignment="1">
      <alignment horizontal="left"/>
    </xf>
    <xf numFmtId="0" fontId="11" fillId="0" borderId="0" xfId="9" applyFont="1" applyFill="1" applyBorder="1" applyAlignment="1">
      <alignment horizontal="center"/>
    </xf>
    <xf numFmtId="0" fontId="10" fillId="0" borderId="6" xfId="7" applyFont="1" applyBorder="1" applyAlignment="1">
      <alignment horizontal="center"/>
    </xf>
    <xf numFmtId="0" fontId="10" fillId="0" borderId="9" xfId="7" applyFont="1" applyBorder="1" applyAlignment="1">
      <alignment horizontal="center"/>
    </xf>
    <xf numFmtId="0" fontId="10" fillId="0" borderId="4" xfId="7" applyFont="1" applyBorder="1" applyAlignment="1">
      <alignment horizontal="center"/>
    </xf>
    <xf numFmtId="0" fontId="7" fillId="0" borderId="0" xfId="0" applyFont="1" applyFill="1" applyBorder="1" applyAlignment="1">
      <alignment horizontal="left"/>
    </xf>
    <xf numFmtId="167" fontId="7" fillId="0" borderId="0" xfId="7" applyNumberFormat="1" applyFont="1" applyFill="1" applyBorder="1" applyAlignment="1" applyProtection="1">
      <alignment horizontal="left"/>
      <protection locked="0"/>
    </xf>
    <xf numFmtId="167" fontId="8" fillId="0" borderId="0" xfId="7" applyNumberFormat="1" applyFont="1" applyFill="1" applyBorder="1" applyAlignment="1">
      <alignment horizontal="left"/>
    </xf>
    <xf numFmtId="0" fontId="8" fillId="0" borderId="0" xfId="7" applyFont="1" applyFill="1" applyBorder="1" applyAlignment="1">
      <alignment horizontal="left"/>
    </xf>
    <xf numFmtId="0" fontId="10" fillId="0" borderId="47" xfId="7" applyFont="1" applyBorder="1" applyAlignment="1">
      <alignment horizontal="center"/>
    </xf>
    <xf numFmtId="0" fontId="10" fillId="0" borderId="2" xfId="7" applyFont="1" applyBorder="1" applyAlignment="1">
      <alignment horizontal="center"/>
    </xf>
    <xf numFmtId="0" fontId="10" fillId="0" borderId="48" xfId="7" applyFont="1" applyBorder="1" applyAlignment="1">
      <alignment horizontal="center"/>
    </xf>
    <xf numFmtId="0" fontId="10" fillId="0" borderId="6" xfId="6" applyFont="1" applyFill="1" applyBorder="1" applyAlignment="1">
      <alignment horizontal="center"/>
    </xf>
    <xf numFmtId="0" fontId="10" fillId="0" borderId="4" xfId="6" applyFont="1" applyFill="1" applyBorder="1" applyAlignment="1">
      <alignment horizontal="center"/>
    </xf>
    <xf numFmtId="0" fontId="10" fillId="0" borderId="47" xfId="6" applyFont="1" applyFill="1" applyBorder="1" applyAlignment="1">
      <alignment horizontal="center"/>
    </xf>
    <xf numFmtId="0" fontId="10" fillId="0" borderId="2" xfId="6" applyFont="1" applyFill="1" applyBorder="1" applyAlignment="1">
      <alignment horizontal="center"/>
    </xf>
    <xf numFmtId="0" fontId="10" fillId="0" borderId="48" xfId="6" applyFont="1" applyFill="1" applyBorder="1" applyAlignment="1">
      <alignment horizontal="center"/>
    </xf>
    <xf numFmtId="0" fontId="10" fillId="0" borderId="9" xfId="6" applyFont="1" applyFill="1" applyBorder="1" applyAlignment="1">
      <alignment horizontal="center"/>
    </xf>
    <xf numFmtId="0" fontId="10" fillId="0" borderId="47" xfId="6" applyFont="1" applyBorder="1" applyAlignment="1">
      <alignment horizontal="center"/>
    </xf>
    <xf numFmtId="0" fontId="10" fillId="0" borderId="2" xfId="0" applyFont="1" applyBorder="1" applyAlignment="1">
      <alignment horizontal="center"/>
    </xf>
    <xf numFmtId="0" fontId="10" fillId="0" borderId="48" xfId="0" applyFont="1" applyBorder="1" applyAlignment="1">
      <alignment horizontal="center"/>
    </xf>
    <xf numFmtId="0" fontId="10" fillId="0" borderId="2" xfId="6" applyFont="1" applyBorder="1" applyAlignment="1">
      <alignment horizontal="center"/>
    </xf>
    <xf numFmtId="0" fontId="10" fillId="0" borderId="49" xfId="6" applyFont="1" applyBorder="1" applyAlignment="1">
      <alignment horizontal="center"/>
    </xf>
    <xf numFmtId="0" fontId="10" fillId="0" borderId="47" xfId="0" applyFont="1" applyBorder="1" applyAlignment="1">
      <alignment horizontal="center"/>
    </xf>
    <xf numFmtId="0" fontId="32" fillId="4" borderId="18" xfId="7" applyFont="1" applyFill="1" applyBorder="1" applyAlignment="1">
      <alignment horizontal="left"/>
    </xf>
    <xf numFmtId="0" fontId="32" fillId="4" borderId="23" xfId="7" applyFont="1" applyFill="1" applyBorder="1" applyAlignment="1">
      <alignment horizontal="left"/>
    </xf>
    <xf numFmtId="0" fontId="32" fillId="4" borderId="19" xfId="7" applyFont="1" applyFill="1" applyBorder="1" applyAlignment="1">
      <alignment horizontal="left"/>
    </xf>
    <xf numFmtId="0" fontId="7" fillId="0" borderId="0" xfId="9" applyFont="1" applyAlignment="1">
      <alignment horizontal="left"/>
    </xf>
    <xf numFmtId="167" fontId="7" fillId="0" borderId="0" xfId="9" applyNumberFormat="1" applyFont="1" applyAlignment="1">
      <alignment horizontal="left"/>
    </xf>
    <xf numFmtId="0" fontId="61" fillId="15" borderId="34" xfId="24" applyFont="1" applyFill="1" applyBorder="1" applyAlignment="1">
      <alignment horizontal="center" vertical="center" textRotation="180"/>
    </xf>
    <xf numFmtId="0" fontId="61" fillId="15" borderId="33" xfId="24" applyFont="1" applyFill="1" applyBorder="1" applyAlignment="1">
      <alignment horizontal="center" vertical="center" textRotation="180"/>
    </xf>
    <xf numFmtId="0" fontId="61" fillId="15" borderId="36" xfId="24" applyFont="1" applyFill="1" applyBorder="1" applyAlignment="1">
      <alignment horizontal="center" vertical="center" textRotation="180"/>
    </xf>
    <xf numFmtId="0" fontId="42" fillId="3" borderId="34" xfId="6" applyFont="1" applyFill="1" applyBorder="1" applyAlignment="1">
      <alignment horizontal="center" vertical="center" wrapText="1"/>
    </xf>
    <xf numFmtId="0" fontId="42" fillId="3" borderId="36" xfId="6" applyFont="1" applyFill="1" applyBorder="1" applyAlignment="1">
      <alignment horizontal="center" vertical="center" wrapText="1"/>
    </xf>
    <xf numFmtId="0" fontId="42" fillId="0" borderId="34" xfId="6" applyFont="1" applyBorder="1" applyAlignment="1">
      <alignment horizontal="center" vertical="center"/>
    </xf>
    <xf numFmtId="0" fontId="42" fillId="0" borderId="36" xfId="6" applyFont="1" applyBorder="1" applyAlignment="1">
      <alignment horizontal="center" vertical="center"/>
    </xf>
    <xf numFmtId="0" fontId="48" fillId="0" borderId="34" xfId="6" applyFont="1" applyFill="1" applyBorder="1" applyAlignment="1">
      <alignment horizontal="center" vertical="center" wrapText="1"/>
    </xf>
    <xf numFmtId="0" fontId="48" fillId="0" borderId="33" xfId="6" applyFont="1" applyFill="1" applyBorder="1" applyAlignment="1">
      <alignment horizontal="center" vertical="center" wrapText="1"/>
    </xf>
    <xf numFmtId="0" fontId="44" fillId="0" borderId="34" xfId="6" applyFont="1" applyBorder="1" applyAlignment="1">
      <alignment horizontal="center" vertical="center" wrapText="1"/>
    </xf>
    <xf numFmtId="0" fontId="44" fillId="0" borderId="33" xfId="6" applyFont="1" applyBorder="1" applyAlignment="1">
      <alignment horizontal="center" vertical="center" wrapText="1"/>
    </xf>
    <xf numFmtId="0" fontId="44" fillId="0" borderId="36" xfId="6" applyFont="1" applyBorder="1" applyAlignment="1">
      <alignment horizontal="center" vertical="center" wrapText="1"/>
    </xf>
    <xf numFmtId="0" fontId="49" fillId="3" borderId="41" xfId="6" applyFont="1" applyFill="1" applyBorder="1" applyAlignment="1">
      <alignment horizontal="center" vertical="center" wrapText="1"/>
    </xf>
    <xf numFmtId="0" fontId="3" fillId="0" borderId="38" xfId="6" applyBorder="1" applyAlignment="1">
      <alignment horizontal="center" vertical="center" wrapText="1"/>
    </xf>
    <xf numFmtId="0" fontId="48" fillId="0" borderId="39" xfId="6" applyFont="1" applyFill="1" applyBorder="1" applyAlignment="1">
      <alignment horizontal="center" vertical="center" wrapText="1"/>
    </xf>
    <xf numFmtId="0" fontId="48" fillId="0" borderId="0" xfId="6" applyFont="1" applyFill="1" applyBorder="1" applyAlignment="1">
      <alignment horizontal="center" vertical="center" wrapText="1"/>
    </xf>
    <xf numFmtId="0" fontId="48" fillId="3" borderId="34" xfId="6" applyFont="1" applyFill="1" applyBorder="1" applyAlignment="1">
      <alignment horizontal="center" vertical="center" wrapText="1"/>
    </xf>
    <xf numFmtId="0" fontId="48" fillId="3" borderId="33" xfId="6" applyFont="1" applyFill="1" applyBorder="1" applyAlignment="1">
      <alignment horizontal="center" vertical="center" wrapText="1"/>
    </xf>
    <xf numFmtId="0" fontId="48" fillId="3" borderId="36" xfId="6" applyFont="1" applyFill="1" applyBorder="1" applyAlignment="1">
      <alignment horizontal="center" vertical="center" wrapText="1"/>
    </xf>
    <xf numFmtId="0" fontId="7" fillId="3" borderId="18" xfId="6" applyFont="1" applyFill="1" applyBorder="1" applyAlignment="1">
      <alignment horizontal="center" vertical="center" wrapText="1"/>
    </xf>
    <xf numFmtId="0" fontId="7" fillId="3" borderId="19" xfId="6" applyFont="1" applyFill="1" applyBorder="1" applyAlignment="1">
      <alignment horizontal="center" vertical="center" wrapText="1"/>
    </xf>
    <xf numFmtId="0" fontId="48" fillId="3" borderId="40" xfId="6" applyFont="1" applyFill="1" applyBorder="1" applyAlignment="1">
      <alignment horizontal="center" vertical="center" wrapText="1"/>
    </xf>
    <xf numFmtId="0" fontId="48" fillId="3" borderId="38" xfId="6" applyFont="1" applyFill="1" applyBorder="1" applyAlignment="1">
      <alignment horizontal="center" vertical="center" wrapText="1"/>
    </xf>
    <xf numFmtId="0" fontId="48" fillId="3" borderId="30" xfId="6" applyFont="1" applyFill="1" applyBorder="1" applyAlignment="1">
      <alignment horizontal="center" vertical="center" wrapText="1"/>
    </xf>
    <xf numFmtId="0" fontId="48" fillId="0" borderId="40" xfId="6" applyFont="1" applyBorder="1" applyAlignment="1">
      <alignment horizontal="center" vertical="center" wrapText="1"/>
    </xf>
    <xf numFmtId="0" fontId="48" fillId="0" borderId="30" xfId="6" applyFont="1" applyBorder="1" applyAlignment="1">
      <alignment horizontal="center" vertical="center" wrapText="1"/>
    </xf>
  </cellXfs>
  <cellStyles count="31">
    <cellStyle name="Comma" xfId="1" builtinId="3"/>
    <cellStyle name="Comma 2" xfId="11" xr:uid="{00000000-0005-0000-0000-000001000000}"/>
    <cellStyle name="Comma 2 2" xfId="8" xr:uid="{00000000-0005-0000-0000-000002000000}"/>
    <cellStyle name="Comma 3" xfId="15" xr:uid="{00000000-0005-0000-0000-000003000000}"/>
    <cellStyle name="Comma 4" xfId="17" xr:uid="{00000000-0005-0000-0000-000004000000}"/>
    <cellStyle name="Hyperlink" xfId="13" builtinId="8" customBuiltin="1"/>
    <cellStyle name="Hyperlink 2" xfId="23" xr:uid="{00000000-0005-0000-0000-000006000000}"/>
    <cellStyle name="Hyperlink 2 2" xfId="21" xr:uid="{00000000-0005-0000-0000-000007000000}"/>
    <cellStyle name="Hyperlink 3" xfId="22" xr:uid="{00000000-0005-0000-0000-000008000000}"/>
    <cellStyle name="Hyperlink 3 2" xfId="26" xr:uid="{00000000-0005-0000-0000-000009000000}"/>
    <cellStyle name="Normal" xfId="0" builtinId="0"/>
    <cellStyle name="Normal 2" xfId="6" xr:uid="{00000000-0005-0000-0000-00000B000000}"/>
    <cellStyle name="Normal 2 2" xfId="9" xr:uid="{00000000-0005-0000-0000-00000C000000}"/>
    <cellStyle name="Normal 3" xfId="7" xr:uid="{00000000-0005-0000-0000-00000D000000}"/>
    <cellStyle name="Normal 3 2" xfId="16" xr:uid="{00000000-0005-0000-0000-00000E000000}"/>
    <cellStyle name="Normal 3 2 2" xfId="28" xr:uid="{00000000-0005-0000-0000-00000F000000}"/>
    <cellStyle name="Normal 4" xfId="18" xr:uid="{00000000-0005-0000-0000-000010000000}"/>
    <cellStyle name="Normal 4 2" xfId="24" xr:uid="{00000000-0005-0000-0000-000011000000}"/>
    <cellStyle name="Normal 5" xfId="19" xr:uid="{00000000-0005-0000-0000-000012000000}"/>
    <cellStyle name="Normal 5 2" xfId="27" xr:uid="{00000000-0005-0000-0000-000013000000}"/>
    <cellStyle name="Normal 5 2 2" xfId="29" xr:uid="{00000000-0005-0000-0000-000014000000}"/>
    <cellStyle name="Normal 6" xfId="25" xr:uid="{00000000-0005-0000-0000-000015000000}"/>
    <cellStyle name="Normal 7" xfId="30" xr:uid="{00000000-0005-0000-0000-000016000000}"/>
    <cellStyle name="Normal_Sheet3" xfId="14" xr:uid="{00000000-0005-0000-0000-000017000000}"/>
    <cellStyle name="Normal_Task Options - Gooch Chopped" xfId="2" xr:uid="{00000000-0005-0000-0000-000018000000}"/>
    <cellStyle name="Normal1" xfId="3" xr:uid="{00000000-0005-0000-0000-000019000000}"/>
    <cellStyle name="Normal2" xfId="4" xr:uid="{00000000-0005-0000-0000-00001A000000}"/>
    <cellStyle name="Percent" xfId="5" builtinId="5"/>
    <cellStyle name="Percent 2" xfId="12" xr:uid="{00000000-0005-0000-0000-00001C000000}"/>
    <cellStyle name="Percent 2 2" xfId="10" xr:uid="{00000000-0005-0000-0000-00001D000000}"/>
    <cellStyle name="Percent 3" xfId="20" xr:uid="{00000000-0005-0000-0000-00001E000000}"/>
  </cellStyles>
  <dxfs count="508">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FF99"/>
      </font>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FF99"/>
      </font>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FF99"/>
      </font>
    </dxf>
    <dxf>
      <font>
        <color rgb="FF66FF66"/>
      </font>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7979"/>
      </font>
    </dxf>
    <dxf>
      <font>
        <color rgb="FFFFFF99"/>
      </font>
    </dxf>
    <dxf>
      <font>
        <color rgb="FF66FF66"/>
      </font>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FF99"/>
      </font>
    </dxf>
    <dxf>
      <font>
        <color rgb="FF66FF66"/>
      </font>
    </dxf>
    <dxf>
      <font>
        <color rgb="FFFF7979"/>
      </font>
    </dxf>
    <dxf>
      <font>
        <color rgb="FFFF7979"/>
      </font>
    </dxf>
    <dxf>
      <font>
        <color rgb="FF66FF66"/>
      </font>
    </dxf>
    <dxf>
      <font>
        <color rgb="FF66FF66"/>
      </font>
    </dxf>
    <dxf>
      <fill>
        <patternFill>
          <bgColor theme="6" tint="0.39994506668294322"/>
        </patternFill>
      </fill>
    </dxf>
    <dxf>
      <fill>
        <patternFill>
          <bgColor theme="6" tint="0.39994506668294322"/>
        </patternFill>
      </fill>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ill>
        <patternFill>
          <bgColor theme="6" tint="0.39994506668294322"/>
        </patternFill>
      </fill>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ill>
        <patternFill>
          <bgColor theme="6" tint="0.39994506668294322"/>
        </patternFill>
      </fill>
    </dxf>
    <dxf>
      <fill>
        <patternFill>
          <bgColor theme="6" tint="0.39994506668294322"/>
        </patternFill>
      </fill>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66FF66"/>
      </font>
    </dxf>
    <dxf>
      <font>
        <color rgb="FF66FF66"/>
      </font>
    </dxf>
    <dxf>
      <font>
        <color rgb="FF66FF66"/>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66FF66"/>
      </font>
    </dxf>
    <dxf>
      <font>
        <color rgb="FF66FF66"/>
      </font>
    </dxf>
    <dxf>
      <font>
        <color rgb="FFFFFF99"/>
      </font>
    </dxf>
    <dxf>
      <font>
        <color rgb="FFFF7979"/>
      </font>
    </dxf>
    <dxf>
      <font>
        <color rgb="FFFF7979"/>
      </font>
    </dxf>
    <dxf>
      <font>
        <color rgb="FFFFFF99"/>
      </font>
    </dxf>
    <dxf>
      <font>
        <color rgb="FFFFFF99"/>
      </font>
    </dxf>
    <dxf>
      <font>
        <color rgb="FFFF7979"/>
      </font>
    </dxf>
    <dxf>
      <font>
        <color rgb="FFFF7979"/>
      </font>
    </dxf>
    <dxf>
      <font>
        <color rgb="FFFF7979"/>
      </font>
    </dxf>
    <dxf>
      <font>
        <color rgb="FFFF7979"/>
      </font>
    </dxf>
    <dxf>
      <font>
        <color rgb="FFFF7979"/>
      </font>
    </dxf>
    <dxf>
      <font>
        <color rgb="FFFFFF99"/>
      </font>
    </dxf>
    <dxf>
      <font>
        <color rgb="FF66FF66"/>
      </font>
    </dxf>
  </dxfs>
  <tableStyles count="0" defaultTableStyle="TableStyleMedium9" defaultPivotStyle="PivotStyleLight16"/>
  <colors>
    <mruColors>
      <color rgb="FFFFFF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48</xdr:row>
      <xdr:rowOff>0</xdr:rowOff>
    </xdr:to>
    <xdr:sp macro="" textlink="">
      <xdr:nvSpPr>
        <xdr:cNvPr id="2" name="Line 9">
          <a:extLst>
            <a:ext uri="{FF2B5EF4-FFF2-40B4-BE49-F238E27FC236}">
              <a16:creationId xmlns:a16="http://schemas.microsoft.com/office/drawing/2014/main" id="{00000000-0008-0000-0900-000002000000}"/>
            </a:ext>
          </a:extLst>
        </xdr:cNvPr>
        <xdr:cNvSpPr>
          <a:spLocks noChangeShapeType="1"/>
        </xdr:cNvSpPr>
      </xdr:nvSpPr>
      <xdr:spPr bwMode="auto">
        <a:xfrm>
          <a:off x="0" y="600075"/>
          <a:ext cx="0" cy="800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Temporary%20Internet%20Files\OLK1A\OLKE1\MH60S%20DRAFT%20STANDARDS%202%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s://flankspeed.sharepoint-mil.us.mcas-gov.us/sites/CPF-CNAP-HQ/N42/N422/SharedDocuments/Forms/AllItems.aspx?RootFolder=%2Fsites%2FCPF%2DCNAP%2DHQ%2FN42%2FN422%2FSharedDocuments%2FN422C%20NAMP%2FMESMs&amp;FolderCTID=0x012000DF16210E418C3840B293E75187CA959E"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showGridLines="0" tabSelected="1" workbookViewId="0">
      <selection sqref="A1:B1"/>
    </sheetView>
  </sheetViews>
  <sheetFormatPr defaultColWidth="8.85546875" defaultRowHeight="15.75" x14ac:dyDescent="0.25"/>
  <cols>
    <col min="1" max="1" width="62.42578125" style="74" customWidth="1"/>
    <col min="2" max="2" width="16.7109375" style="74" customWidth="1"/>
    <col min="3" max="3" width="5.7109375" style="74" customWidth="1"/>
    <col min="4" max="4" width="10.42578125" style="74" customWidth="1"/>
    <col min="5" max="16384" width="8.85546875" style="74"/>
  </cols>
  <sheetData>
    <row r="1" spans="1:5" ht="16.5" thickBot="1" x14ac:dyDescent="0.3">
      <c r="A1" s="627" t="s">
        <v>0</v>
      </c>
      <c r="B1" s="628"/>
      <c r="C1" s="250" t="s">
        <v>1</v>
      </c>
      <c r="D1" s="250" t="s">
        <v>2</v>
      </c>
    </row>
    <row r="2" spans="1:5" s="73" customFormat="1" ht="15" x14ac:dyDescent="0.25">
      <c r="A2" s="242" t="str">
        <f>'VAQ (5 EA-18G CVW)'!A1:G1</f>
        <v>Readiness Standards VAQ EA-18G 5 Plane CVW</v>
      </c>
      <c r="B2" s="251" t="s">
        <v>3</v>
      </c>
      <c r="C2" s="318">
        <f>'VAQ (5 EA-18G CVW)'!AD1</f>
        <v>5.01</v>
      </c>
      <c r="D2" s="316">
        <f>'VAQ (5 EA-18G CVW)'!M1</f>
        <v>44835</v>
      </c>
      <c r="E2" s="76" t="str">
        <f t="shared" ref="E2:E19" ca="1" si="0">IF(D2&gt;NOW()-90," ! NEW","")</f>
        <v/>
      </c>
    </row>
    <row r="3" spans="1:5" s="73" customFormat="1" ht="15" x14ac:dyDescent="0.25">
      <c r="A3" s="243" t="str">
        <f>'VAQ (7 EA-18G CVW)'!A1:G1</f>
        <v>Readiness Standards VAQ EA-18G 7 Plane CVW</v>
      </c>
      <c r="B3" s="246" t="s">
        <v>3</v>
      </c>
      <c r="C3" s="319">
        <f>'VAQ (7 EA-18G CVW)'!AD1</f>
        <v>5.0199999999999996</v>
      </c>
      <c r="D3" s="317">
        <f>'VAQ (7 EA-18G CVW)'!M1</f>
        <v>44835</v>
      </c>
      <c r="E3" s="76" t="str">
        <f t="shared" ca="1" si="0"/>
        <v/>
      </c>
    </row>
    <row r="4" spans="1:5" s="73" customFormat="1" ht="15" x14ac:dyDescent="0.25">
      <c r="A4" s="243" t="str">
        <f>'VAQ (7 EA-18G) FDNF'!A1</f>
        <v>Readiness Standards VAQ EA-18G 7 Plane FDNF</v>
      </c>
      <c r="B4" s="246" t="s">
        <v>3</v>
      </c>
      <c r="C4" s="319">
        <f>'VAQ (7 EA-18G) FDNF'!AD1</f>
        <v>5.03</v>
      </c>
      <c r="D4" s="317">
        <f>'VAQ (7 EA-18G) FDNF'!M1</f>
        <v>44835</v>
      </c>
      <c r="E4" s="76" t="str">
        <f t="shared" ca="1" si="0"/>
        <v/>
      </c>
    </row>
    <row r="5" spans="1:5" s="73" customFormat="1" ht="15" x14ac:dyDescent="0.25">
      <c r="A5" s="243" t="str">
        <f>'VAQ (5 EA-18G) EXPED'!A1</f>
        <v>Readiness Standards VAQ EA-18G 5 Plane EXPED</v>
      </c>
      <c r="B5" s="246" t="s">
        <v>3</v>
      </c>
      <c r="C5" s="319">
        <f>'VAQ (5 EA-18G) EXPED'!AD1</f>
        <v>5.04</v>
      </c>
      <c r="D5" s="317">
        <f>'VAQ (5 EA-18G) EXPED'!M1</f>
        <v>44835</v>
      </c>
      <c r="E5" s="76" t="str">
        <f t="shared" ca="1" si="0"/>
        <v/>
      </c>
    </row>
    <row r="6" spans="1:5" s="73" customFormat="1" ht="15" x14ac:dyDescent="0.25">
      <c r="A6" s="243" t="str">
        <f>'VAQ (6 EA-18G) EXPED'!A1</f>
        <v>Readiness Standards VAQ EA-18G 6 Plane EXPED</v>
      </c>
      <c r="B6" s="246" t="s">
        <v>3</v>
      </c>
      <c r="C6" s="319">
        <f>'VAQ (6 EA-18G) EXPED'!AD1</f>
        <v>5.05</v>
      </c>
      <c r="D6" s="317">
        <f>'VAQ (6 EA-18G) EXPED'!M1</f>
        <v>44835</v>
      </c>
      <c r="E6" s="76" t="str">
        <f t="shared" ca="1" si="0"/>
        <v/>
      </c>
    </row>
    <row r="7" spans="1:5" s="73" customFormat="1" ht="15" x14ac:dyDescent="0.25">
      <c r="A7" s="243" t="str">
        <f>'VAQ (5 EA-18G) Reserve EXPED'!A1</f>
        <v>Readiness Standards VAQ EA-18G 5 Plane Reserve EXPED</v>
      </c>
      <c r="B7" s="246" t="s">
        <v>3</v>
      </c>
      <c r="C7" s="319">
        <f>'VAQ (5 EA-18G) Reserve EXPED'!AD1</f>
        <v>5.0599999999999996</v>
      </c>
      <c r="D7" s="317">
        <f>'VAQ (5 EA-18G) Reserve EXPED'!M1</f>
        <v>44835</v>
      </c>
      <c r="E7" s="76" t="str">
        <f t="shared" ca="1" si="0"/>
        <v/>
      </c>
    </row>
    <row r="8" spans="1:5" s="73" customFormat="1" ht="15" x14ac:dyDescent="0.25">
      <c r="A8" s="243" t="str">
        <f>'VAQ (5 EA-18G) Reserve CVW'!A1</f>
        <v>Readiness Standards VAQ EA-18G 5 Plane Reserve CVW</v>
      </c>
      <c r="B8" s="246" t="s">
        <v>3</v>
      </c>
      <c r="C8" s="319">
        <f>'VAQ (5 EA-18G) Reserve CVW'!AD1</f>
        <v>5.07</v>
      </c>
      <c r="D8" s="317">
        <f>'VAQ (5 EA-18G) Reserve CVW'!M1</f>
        <v>44835</v>
      </c>
      <c r="E8" s="76" t="str">
        <f t="shared" ca="1" si="0"/>
        <v/>
      </c>
    </row>
    <row r="9" spans="1:5" s="73" customFormat="1" ht="15" x14ac:dyDescent="0.25">
      <c r="A9" s="243" t="str">
        <f>'VAQ (EA-18G FRS)'!A1:F1</f>
        <v>Readiness Standards VAQ EA-18G FRS</v>
      </c>
      <c r="B9" s="246"/>
      <c r="C9" s="319">
        <f>'VAQ (EA-18G FRS)'!AD1</f>
        <v>5.08</v>
      </c>
      <c r="D9" s="317">
        <f>'VAQ (EA-18G FRS)'!M1</f>
        <v>44835</v>
      </c>
      <c r="E9" s="76" t="str">
        <f t="shared" ca="1" si="0"/>
        <v/>
      </c>
    </row>
    <row r="10" spans="1:5" s="73" customFormat="1" ht="15" x14ac:dyDescent="0.25">
      <c r="A10" s="243" t="str">
        <f>'VAQ EA-18G PDAA'!A1</f>
        <v>Readiness Standards VAQ EA-18G Test</v>
      </c>
      <c r="B10" s="390"/>
      <c r="C10" s="391">
        <f>'VAQ EA-18G PDAA'!AB1</f>
        <v>5.09</v>
      </c>
      <c r="D10" s="369">
        <f>'VAQ EA-18G PDAA'!H1</f>
        <v>44835</v>
      </c>
      <c r="E10" s="76" t="str">
        <f t="shared" ca="1" si="0"/>
        <v/>
      </c>
    </row>
    <row r="11" spans="1:5" s="73" customFormat="1" ht="15" x14ac:dyDescent="0.25">
      <c r="A11" s="243" t="str">
        <f>'VAQ EA-18G Reduced MET CVW FDNF'!C2</f>
        <v>E/A-18G VAQ TMS Reduced System to MET Matrix (CVW/FDNF)</v>
      </c>
      <c r="B11" s="392"/>
      <c r="C11" s="309"/>
      <c r="D11" s="249">
        <f>'VAQ EA-18G Reduced MET CVW FDNF'!B1</f>
        <v>43435</v>
      </c>
      <c r="E11" s="76" t="str">
        <f t="shared" ca="1" si="0"/>
        <v/>
      </c>
    </row>
    <row r="12" spans="1:5" s="73" customFormat="1" ht="15" x14ac:dyDescent="0.25">
      <c r="A12" s="243" t="str">
        <f>'VAQ EA-18G Reduced MET EXPED'!C2</f>
        <v>E/A-18G VAQ TMS Reduced System to MET Matrix (EXPED)</v>
      </c>
      <c r="B12" s="392"/>
      <c r="C12" s="309"/>
      <c r="D12" s="249">
        <f>'VAQ EA-18G Reduced MET EXPED'!B1</f>
        <v>43435</v>
      </c>
      <c r="E12" s="76" t="str">
        <f t="shared" ca="1" si="0"/>
        <v/>
      </c>
    </row>
    <row r="13" spans="1:5" s="73" customFormat="1" ht="15" x14ac:dyDescent="0.25">
      <c r="A13" s="243" t="str">
        <f>'VAQ EA-18G Reduced MET Reserve'!C2</f>
        <v>E/A-18G VAQ TMS Reduced System to MET Matrix (Reserve)</v>
      </c>
      <c r="B13" s="392"/>
      <c r="C13" s="309"/>
      <c r="D13" s="249">
        <f>'VAQ EA-18G Reduced MET Reserve'!B1</f>
        <v>43435</v>
      </c>
      <c r="E13" s="76" t="str">
        <f t="shared" ca="1" si="0"/>
        <v/>
      </c>
    </row>
    <row r="14" spans="1:5" s="73" customFormat="1" ht="15" x14ac:dyDescent="0.25">
      <c r="A14" s="243" t="str">
        <f>'EA-18G Mission System Summary'!A1</f>
        <v>EA-18G Mission System Utilization per Flight Task</v>
      </c>
      <c r="B14" s="392"/>
      <c r="C14" s="309"/>
      <c r="D14" s="249">
        <f>'EA-18G Mission System Summary'!J1</f>
        <v>44825</v>
      </c>
      <c r="E14" s="76" t="str">
        <f t="shared" ca="1" si="0"/>
        <v/>
      </c>
    </row>
    <row r="15" spans="1:5" s="73" customFormat="1" ht="15" x14ac:dyDescent="0.25">
      <c r="A15" s="243" t="str">
        <f>'EA-18G Mission Systems'!A1</f>
        <v>Mission System Groups VAQ EA-18G</v>
      </c>
      <c r="B15" s="393"/>
      <c r="C15" s="394"/>
      <c r="D15" s="395">
        <f>'EA-18G Mission Systems'!E1</f>
        <v>44092</v>
      </c>
      <c r="E15" s="76" t="str">
        <f t="shared" ca="1" si="0"/>
        <v/>
      </c>
    </row>
    <row r="16" spans="1:5" s="73" customFormat="1" ht="15" x14ac:dyDescent="0.25">
      <c r="A16" s="243" t="s">
        <v>4</v>
      </c>
      <c r="B16" s="393"/>
      <c r="C16" s="394"/>
      <c r="D16" s="395"/>
      <c r="E16" s="76" t="str">
        <f t="shared" ca="1" si="0"/>
        <v/>
      </c>
    </row>
    <row r="17" spans="1:5" s="73" customFormat="1" ht="15" x14ac:dyDescent="0.25">
      <c r="A17" s="243"/>
      <c r="B17" s="393"/>
      <c r="C17" s="394"/>
      <c r="D17" s="395"/>
      <c r="E17" s="76" t="str">
        <f t="shared" ca="1" si="0"/>
        <v/>
      </c>
    </row>
    <row r="18" spans="1:5" s="73" customFormat="1" ht="15" x14ac:dyDescent="0.25">
      <c r="A18" s="243"/>
      <c r="B18" s="393"/>
      <c r="C18" s="394"/>
      <c r="D18" s="395"/>
      <c r="E18" s="76" t="str">
        <f t="shared" ca="1" si="0"/>
        <v/>
      </c>
    </row>
    <row r="19" spans="1:5" ht="16.5" thickBot="1" x14ac:dyDescent="0.3">
      <c r="A19" s="301"/>
      <c r="B19" s="396"/>
      <c r="C19" s="310"/>
      <c r="D19" s="397"/>
      <c r="E19" s="76" t="str">
        <f t="shared" ca="1" si="0"/>
        <v/>
      </c>
    </row>
    <row r="29" spans="1:5" x14ac:dyDescent="0.25">
      <c r="A29" s="75" t="s">
        <v>5</v>
      </c>
      <c r="B29" s="75"/>
      <c r="C29" s="75"/>
    </row>
  </sheetData>
  <mergeCells count="1">
    <mergeCell ref="A1:B1"/>
  </mergeCells>
  <phoneticPr fontId="6" type="noConversion"/>
  <hyperlinks>
    <hyperlink ref="A15" location="'EA-18G Mission Systems'!A1" display="'EA-18G Mission Systems'!A1" xr:uid="{00000000-0004-0000-0000-000000000000}"/>
    <hyperlink ref="A2" location="'VAQ (5 EA-18G CVW)'!A1" display="'VAQ (5 EA-18G CVW)'!A1" xr:uid="{00000000-0004-0000-0000-000001000000}"/>
    <hyperlink ref="A3" location="'VAQ (7 EA-18G CVW)'!A1" display="'VAQ (7 EA-18G CVW)'!A1" xr:uid="{00000000-0004-0000-0000-000002000000}"/>
    <hyperlink ref="A4" location="'VAQ (7 EA-18G) FDNF'!A1" display="'VAQ (7 EA-18G) FDNF'!A1" xr:uid="{00000000-0004-0000-0000-000003000000}"/>
    <hyperlink ref="A5" location="'VAQ (5 EA-18G) EXPED'!A1" display="'VAQ (5 EA-18G) EXPED'!A1" xr:uid="{00000000-0004-0000-0000-000004000000}"/>
    <hyperlink ref="A6" location="'VAQ (6 EA-18G) EXPED'!A1" display="'VAQ (6 EA-18G) EXPED'!A1" xr:uid="{00000000-0004-0000-0000-000005000000}"/>
    <hyperlink ref="A7" location="'VAQ (5 EA-18G) Reserve EXPED'!A1" display="'VAQ (5 EA-18G) Reserve EXPED'!A1" xr:uid="{00000000-0004-0000-0000-000006000000}"/>
    <hyperlink ref="B2" location="'VAQ (5 EA-18G CVW)'!A167" display="AMFOM" xr:uid="{00000000-0004-0000-0000-000007000000}"/>
    <hyperlink ref="B3" location="'VAQ (7 EA-18G CVW)'!A167" display="AMFOM" xr:uid="{00000000-0004-0000-0000-000008000000}"/>
    <hyperlink ref="B4" location="'VAQ (7 EA-18G) FDNF'!A167" display="AMFOM" xr:uid="{00000000-0004-0000-0000-000009000000}"/>
    <hyperlink ref="B5" location="'VAQ (5 EA-18G) EXPED'!A167" display="AMFOM" xr:uid="{00000000-0004-0000-0000-00000A000000}"/>
    <hyperlink ref="B6" location="'VAQ (6 EA-18G) EXPED'!A167" display="AMFOM" xr:uid="{00000000-0004-0000-0000-00000B000000}"/>
    <hyperlink ref="B7" location="'VAQ (5 EA-18G) Reserve EXPED'!A167" display="AMFOM" xr:uid="{00000000-0004-0000-0000-00000C000000}"/>
    <hyperlink ref="A11" location="'VAQ EA-18G Reduced MET CVW FDNF'!A1" display="'VAQ EA-18G Reduced MET CVW FDNF'!A1" xr:uid="{00000000-0004-0000-0000-00000D000000}"/>
    <hyperlink ref="A12" location="'VAQ EA-18G Reduced MET EXPED'!A1" display="'VAQ EA-18G Reduced MET EXPED'!A1" xr:uid="{00000000-0004-0000-0000-00000E000000}"/>
    <hyperlink ref="A13" location="'VAQ EA-18G Reduced MET Reserve'!A1" display="'VAQ EA-18G Reduced MET Reserve'!A1" xr:uid="{00000000-0004-0000-0000-00000F000000}"/>
    <hyperlink ref="A16" location="Definitions!A1" display="Definitions" xr:uid="{00000000-0004-0000-0000-000010000000}"/>
    <hyperlink ref="A9" location="'VAQ (EA-18G FRS)'!A1" display="'VAQ (EA-18G FRS)'!A1" xr:uid="{00000000-0004-0000-0000-000011000000}"/>
    <hyperlink ref="A8" location="'VAQ (5 EA-18G) Reserve CVW'!A1" display="'VAQ (5 EA-18G) Reserve CVW'!A1" xr:uid="{00000000-0004-0000-0000-000012000000}"/>
    <hyperlink ref="B8" location="'VAQ (5 EA-18G) Reserve CVW'!A167" display="AMFOM" xr:uid="{00000000-0004-0000-0000-000013000000}"/>
    <hyperlink ref="A14" location="'EA-18G Mission System Summary'!A1" display="'EA-18G Mission System Summary'!A1" xr:uid="{00000000-0004-0000-0000-000014000000}"/>
    <hyperlink ref="A10" location="'VAQ EA-18G PDAA'!A1" display="'VAQ EA-18G PDAA'!A1" xr:uid="{00000000-0004-0000-0000-000015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2"/>
  <sheetViews>
    <sheetView showGridLines="0" topLeftCell="A17" workbookViewId="0">
      <selection activeCell="A41" sqref="A41:XFD42"/>
    </sheetView>
  </sheetViews>
  <sheetFormatPr defaultColWidth="8.85546875" defaultRowHeight="15" x14ac:dyDescent="0.25"/>
  <cols>
    <col min="1" max="1" width="11.140625" style="79" customWidth="1"/>
    <col min="2" max="2" width="35.7109375" style="79" bestFit="1" customWidth="1"/>
    <col min="3" max="3" width="107" style="161" bestFit="1" customWidth="1"/>
    <col min="4" max="16384" width="8.85546875" style="73"/>
  </cols>
  <sheetData>
    <row r="1" spans="1:4" x14ac:dyDescent="0.25">
      <c r="A1" s="77" t="s">
        <v>6</v>
      </c>
      <c r="B1" s="77" t="s">
        <v>7</v>
      </c>
      <c r="C1" s="160" t="s">
        <v>8</v>
      </c>
      <c r="D1" s="78"/>
    </row>
    <row r="2" spans="1:4" s="143" customFormat="1" x14ac:dyDescent="0.2">
      <c r="A2" s="398">
        <v>40787</v>
      </c>
      <c r="B2" s="399" t="s">
        <v>9</v>
      </c>
      <c r="C2" s="400" t="s">
        <v>10</v>
      </c>
      <c r="D2" s="79"/>
    </row>
    <row r="3" spans="1:4" s="79" customFormat="1" x14ac:dyDescent="0.2">
      <c r="A3" s="401">
        <v>41091</v>
      </c>
      <c r="B3" s="400" t="s">
        <v>9</v>
      </c>
      <c r="C3" s="400" t="s">
        <v>11</v>
      </c>
    </row>
    <row r="4" spans="1:4" s="143" customFormat="1" x14ac:dyDescent="0.2">
      <c r="A4" s="401">
        <v>41183</v>
      </c>
      <c r="B4" s="400" t="s">
        <v>9</v>
      </c>
      <c r="C4" s="402" t="s">
        <v>12</v>
      </c>
    </row>
    <row r="5" spans="1:4" s="143" customFormat="1" x14ac:dyDescent="0.2">
      <c r="A5" s="401">
        <v>41183</v>
      </c>
      <c r="B5" s="400" t="s">
        <v>13</v>
      </c>
      <c r="C5" s="402" t="s">
        <v>14</v>
      </c>
    </row>
    <row r="6" spans="1:4" s="143" customFormat="1" x14ac:dyDescent="0.2">
      <c r="A6" s="401">
        <v>41244</v>
      </c>
      <c r="B6" s="400" t="s">
        <v>15</v>
      </c>
      <c r="C6" s="402" t="s">
        <v>16</v>
      </c>
    </row>
    <row r="7" spans="1:4" s="143" customFormat="1" x14ac:dyDescent="0.2">
      <c r="A7" s="401">
        <v>41306</v>
      </c>
      <c r="B7" s="400" t="s">
        <v>13</v>
      </c>
      <c r="C7" s="402" t="s">
        <v>17</v>
      </c>
    </row>
    <row r="8" spans="1:4" s="143" customFormat="1" x14ac:dyDescent="0.2">
      <c r="A8" s="398">
        <v>41426</v>
      </c>
      <c r="B8" s="403" t="s">
        <v>18</v>
      </c>
      <c r="C8" s="404" t="s">
        <v>19</v>
      </c>
    </row>
    <row r="9" spans="1:4" s="143" customFormat="1" x14ac:dyDescent="0.2">
      <c r="A9" s="401">
        <v>41548</v>
      </c>
      <c r="B9" s="400" t="s">
        <v>13</v>
      </c>
      <c r="C9" s="402" t="s">
        <v>14</v>
      </c>
    </row>
    <row r="10" spans="1:4" s="143" customFormat="1" x14ac:dyDescent="0.2">
      <c r="A10" s="401">
        <v>41760</v>
      </c>
      <c r="B10" s="400" t="s">
        <v>20</v>
      </c>
      <c r="C10" s="402" t="s">
        <v>21</v>
      </c>
    </row>
    <row r="11" spans="1:4" s="143" customFormat="1" x14ac:dyDescent="0.2">
      <c r="A11" s="401">
        <v>41913</v>
      </c>
      <c r="B11" s="400" t="s">
        <v>13</v>
      </c>
      <c r="C11" s="402" t="s">
        <v>14</v>
      </c>
    </row>
    <row r="12" spans="1:4" s="143" customFormat="1" ht="30" x14ac:dyDescent="0.2">
      <c r="A12" s="401">
        <v>41913</v>
      </c>
      <c r="B12" s="400" t="s">
        <v>20</v>
      </c>
      <c r="C12" s="402" t="s">
        <v>22</v>
      </c>
    </row>
    <row r="13" spans="1:4" s="143" customFormat="1" x14ac:dyDescent="0.25">
      <c r="A13" s="401">
        <v>42064</v>
      </c>
      <c r="B13" s="400" t="s">
        <v>13</v>
      </c>
      <c r="C13" s="405" t="s">
        <v>23</v>
      </c>
    </row>
    <row r="14" spans="1:4" s="143" customFormat="1" x14ac:dyDescent="0.2">
      <c r="A14" s="401">
        <v>42370</v>
      </c>
      <c r="B14" s="400" t="s">
        <v>13</v>
      </c>
      <c r="C14" s="402" t="s">
        <v>24</v>
      </c>
    </row>
    <row r="15" spans="1:4" s="143" customFormat="1" x14ac:dyDescent="0.2">
      <c r="A15" s="401">
        <v>42370</v>
      </c>
      <c r="B15" s="400" t="s">
        <v>18</v>
      </c>
      <c r="C15" s="402" t="s">
        <v>25</v>
      </c>
    </row>
    <row r="16" spans="1:4" x14ac:dyDescent="0.25">
      <c r="A16" s="398">
        <v>42552</v>
      </c>
      <c r="B16" s="399" t="s">
        <v>18</v>
      </c>
      <c r="C16" s="406" t="s">
        <v>26</v>
      </c>
    </row>
    <row r="17" spans="1:3" x14ac:dyDescent="0.25">
      <c r="A17" s="398">
        <v>42552</v>
      </c>
      <c r="B17" s="399" t="s">
        <v>18</v>
      </c>
      <c r="C17" s="406" t="s">
        <v>27</v>
      </c>
    </row>
    <row r="18" spans="1:3" x14ac:dyDescent="0.25">
      <c r="A18" s="398">
        <v>42583</v>
      </c>
      <c r="B18" s="399" t="s">
        <v>28</v>
      </c>
      <c r="C18" s="406" t="s">
        <v>29</v>
      </c>
    </row>
    <row r="19" spans="1:3" x14ac:dyDescent="0.25">
      <c r="A19" s="398">
        <v>42583</v>
      </c>
      <c r="B19" s="399" t="s">
        <v>20</v>
      </c>
      <c r="C19" s="406" t="s">
        <v>30</v>
      </c>
    </row>
    <row r="20" spans="1:3" x14ac:dyDescent="0.25">
      <c r="A20" s="398">
        <v>42583</v>
      </c>
      <c r="B20" s="399" t="s">
        <v>18</v>
      </c>
      <c r="C20" s="406" t="s">
        <v>31</v>
      </c>
    </row>
    <row r="21" spans="1:3" x14ac:dyDescent="0.25">
      <c r="A21" s="398">
        <v>42644</v>
      </c>
      <c r="B21" s="399" t="s">
        <v>13</v>
      </c>
      <c r="C21" s="406" t="s">
        <v>14</v>
      </c>
    </row>
    <row r="22" spans="1:3" x14ac:dyDescent="0.25">
      <c r="A22" s="398">
        <v>42795</v>
      </c>
      <c r="B22" s="399" t="s">
        <v>18</v>
      </c>
      <c r="C22" s="406" t="s">
        <v>32</v>
      </c>
    </row>
    <row r="23" spans="1:3" x14ac:dyDescent="0.25">
      <c r="A23" s="407">
        <v>42948</v>
      </c>
      <c r="B23" s="393" t="s">
        <v>33</v>
      </c>
      <c r="C23" s="408" t="s">
        <v>34</v>
      </c>
    </row>
    <row r="24" spans="1:3" x14ac:dyDescent="0.25">
      <c r="A24" s="398">
        <v>43221</v>
      </c>
      <c r="B24" s="399" t="s">
        <v>18</v>
      </c>
      <c r="C24" s="406" t="s">
        <v>35</v>
      </c>
    </row>
    <row r="25" spans="1:3" x14ac:dyDescent="0.25">
      <c r="A25" s="398">
        <v>43374</v>
      </c>
      <c r="B25" s="399" t="s">
        <v>36</v>
      </c>
      <c r="C25" s="406" t="s">
        <v>14</v>
      </c>
    </row>
    <row r="26" spans="1:3" x14ac:dyDescent="0.25">
      <c r="A26" s="398">
        <v>43374</v>
      </c>
      <c r="B26" s="399" t="s">
        <v>37</v>
      </c>
      <c r="C26" s="406" t="s">
        <v>14</v>
      </c>
    </row>
    <row r="27" spans="1:3" x14ac:dyDescent="0.25">
      <c r="A27" s="398">
        <v>43374</v>
      </c>
      <c r="B27" s="399" t="s">
        <v>38</v>
      </c>
      <c r="C27" s="406" t="s">
        <v>39</v>
      </c>
    </row>
    <row r="28" spans="1:3" x14ac:dyDescent="0.25">
      <c r="A28" s="398">
        <v>43374</v>
      </c>
      <c r="B28" s="399" t="s">
        <v>40</v>
      </c>
      <c r="C28" s="406" t="s">
        <v>39</v>
      </c>
    </row>
    <row r="29" spans="1:3" x14ac:dyDescent="0.25">
      <c r="A29" s="398">
        <v>43374</v>
      </c>
      <c r="B29" s="399" t="s">
        <v>41</v>
      </c>
      <c r="C29" s="406" t="s">
        <v>39</v>
      </c>
    </row>
    <row r="30" spans="1:3" x14ac:dyDescent="0.25">
      <c r="A30" s="398">
        <v>43435</v>
      </c>
      <c r="B30" s="399" t="s">
        <v>18</v>
      </c>
      <c r="C30" s="405" t="s">
        <v>42</v>
      </c>
    </row>
    <row r="31" spans="1:3" x14ac:dyDescent="0.25">
      <c r="A31" s="398">
        <v>43435</v>
      </c>
      <c r="B31" s="399" t="s">
        <v>18</v>
      </c>
      <c r="C31" s="405" t="s">
        <v>43</v>
      </c>
    </row>
    <row r="32" spans="1:3" x14ac:dyDescent="0.25">
      <c r="A32" s="398">
        <v>43435</v>
      </c>
      <c r="B32" s="399" t="s">
        <v>18</v>
      </c>
      <c r="C32" s="409" t="s">
        <v>44</v>
      </c>
    </row>
    <row r="33" spans="1:3" x14ac:dyDescent="0.25">
      <c r="A33" s="398">
        <v>43435</v>
      </c>
      <c r="B33" s="399" t="s">
        <v>18</v>
      </c>
      <c r="C33" s="409" t="s">
        <v>45</v>
      </c>
    </row>
    <row r="34" spans="1:3" x14ac:dyDescent="0.25">
      <c r="A34" s="398">
        <v>43435</v>
      </c>
      <c r="B34" s="399" t="s">
        <v>18</v>
      </c>
      <c r="C34" s="409" t="s">
        <v>46</v>
      </c>
    </row>
    <row r="35" spans="1:3" x14ac:dyDescent="0.25">
      <c r="A35" s="398">
        <v>43586</v>
      </c>
      <c r="B35" s="399" t="s">
        <v>47</v>
      </c>
      <c r="C35" s="406" t="s">
        <v>48</v>
      </c>
    </row>
    <row r="36" spans="1:3" x14ac:dyDescent="0.25">
      <c r="A36" s="398">
        <v>43952</v>
      </c>
      <c r="B36" s="399" t="s">
        <v>49</v>
      </c>
      <c r="C36" s="406" t="s">
        <v>50</v>
      </c>
    </row>
    <row r="37" spans="1:3" x14ac:dyDescent="0.25">
      <c r="A37" s="398">
        <v>43983</v>
      </c>
      <c r="B37" s="399" t="s">
        <v>51</v>
      </c>
      <c r="C37" s="406"/>
    </row>
    <row r="38" spans="1:3" x14ac:dyDescent="0.25">
      <c r="A38" s="398">
        <v>44075</v>
      </c>
      <c r="B38" s="399" t="s">
        <v>18</v>
      </c>
      <c r="C38" s="406" t="s">
        <v>52</v>
      </c>
    </row>
    <row r="39" spans="1:3" x14ac:dyDescent="0.25">
      <c r="A39" s="398">
        <v>43862</v>
      </c>
      <c r="B39" s="399" t="s">
        <v>53</v>
      </c>
      <c r="C39" s="408" t="s">
        <v>54</v>
      </c>
    </row>
    <row r="40" spans="1:3" x14ac:dyDescent="0.25">
      <c r="A40" s="398">
        <v>44440</v>
      </c>
      <c r="B40" s="399" t="s">
        <v>18</v>
      </c>
      <c r="C40" s="406" t="s">
        <v>55</v>
      </c>
    </row>
    <row r="41" spans="1:3" x14ac:dyDescent="0.25">
      <c r="A41" s="410">
        <v>44835</v>
      </c>
      <c r="B41" s="393" t="s">
        <v>18</v>
      </c>
      <c r="C41" s="406" t="s">
        <v>56</v>
      </c>
    </row>
    <row r="42" spans="1:3" x14ac:dyDescent="0.25">
      <c r="A42" s="398">
        <v>44835</v>
      </c>
      <c r="B42" s="399" t="s">
        <v>18</v>
      </c>
      <c r="C42" s="406" t="s">
        <v>57</v>
      </c>
    </row>
    <row r="43" spans="1:3" x14ac:dyDescent="0.25">
      <c r="A43" s="398">
        <v>44835</v>
      </c>
      <c r="B43" s="399" t="s">
        <v>58</v>
      </c>
      <c r="C43" s="406" t="s">
        <v>59</v>
      </c>
    </row>
    <row r="44" spans="1:3" x14ac:dyDescent="0.25">
      <c r="A44" s="398">
        <v>44835</v>
      </c>
      <c r="B44" s="399" t="s">
        <v>60</v>
      </c>
      <c r="C44" s="406" t="s">
        <v>61</v>
      </c>
    </row>
    <row r="45" spans="1:3" x14ac:dyDescent="0.25">
      <c r="A45" s="411"/>
      <c r="B45" s="411"/>
      <c r="C45" s="406"/>
    </row>
    <row r="46" spans="1:3" x14ac:dyDescent="0.25">
      <c r="A46" s="411"/>
      <c r="B46" s="411"/>
      <c r="C46" s="406"/>
    </row>
    <row r="47" spans="1:3" x14ac:dyDescent="0.25">
      <c r="A47" s="411"/>
      <c r="B47" s="411"/>
      <c r="C47" s="406"/>
    </row>
    <row r="48" spans="1:3" x14ac:dyDescent="0.25">
      <c r="A48" s="411"/>
      <c r="B48" s="411"/>
      <c r="C48" s="406"/>
    </row>
    <row r="49" spans="1:3" x14ac:dyDescent="0.25">
      <c r="A49" s="411"/>
      <c r="B49" s="411"/>
      <c r="C49" s="406"/>
    </row>
    <row r="50" spans="1:3" x14ac:dyDescent="0.25">
      <c r="A50" s="411"/>
      <c r="B50" s="411"/>
      <c r="C50" s="406"/>
    </row>
    <row r="51" spans="1:3" x14ac:dyDescent="0.25">
      <c r="A51" s="411"/>
      <c r="B51" s="411"/>
      <c r="C51" s="406"/>
    </row>
    <row r="52" spans="1:3" x14ac:dyDescent="0.25">
      <c r="A52" s="411"/>
      <c r="B52" s="411"/>
      <c r="C52" s="406"/>
    </row>
    <row r="53" spans="1:3" x14ac:dyDescent="0.25">
      <c r="A53" s="411"/>
      <c r="B53" s="411"/>
      <c r="C53" s="406"/>
    </row>
    <row r="54" spans="1:3" x14ac:dyDescent="0.25">
      <c r="A54" s="411"/>
      <c r="B54" s="411"/>
      <c r="C54" s="406"/>
    </row>
    <row r="55" spans="1:3" x14ac:dyDescent="0.25">
      <c r="A55" s="411"/>
      <c r="B55" s="411"/>
      <c r="C55" s="406"/>
    </row>
    <row r="56" spans="1:3" x14ac:dyDescent="0.25">
      <c r="A56" s="411"/>
      <c r="B56" s="411"/>
      <c r="C56" s="406"/>
    </row>
    <row r="57" spans="1:3" x14ac:dyDescent="0.25">
      <c r="A57" s="411"/>
      <c r="B57" s="411"/>
      <c r="C57" s="406"/>
    </row>
    <row r="58" spans="1:3" x14ac:dyDescent="0.25">
      <c r="A58" s="411"/>
      <c r="B58" s="411"/>
      <c r="C58" s="406"/>
    </row>
    <row r="59" spans="1:3" x14ac:dyDescent="0.25">
      <c r="A59" s="411"/>
      <c r="B59" s="411"/>
      <c r="C59" s="406"/>
    </row>
    <row r="60" spans="1:3" x14ac:dyDescent="0.25">
      <c r="A60" s="411"/>
      <c r="B60" s="411"/>
      <c r="C60" s="406"/>
    </row>
    <row r="61" spans="1:3" x14ac:dyDescent="0.25">
      <c r="A61" s="411"/>
      <c r="B61" s="411"/>
      <c r="C61" s="406"/>
    </row>
    <row r="62" spans="1:3" x14ac:dyDescent="0.25">
      <c r="A62" s="411"/>
      <c r="B62" s="411"/>
      <c r="C62" s="406"/>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80"/>
  <sheetViews>
    <sheetView showGridLines="0" topLeftCell="A73" zoomScaleNormal="100" zoomScaleSheetLayoutView="55" workbookViewId="0">
      <selection activeCell="K89" sqref="K89"/>
    </sheetView>
  </sheetViews>
  <sheetFormatPr defaultColWidth="8.85546875" defaultRowHeight="12.75" x14ac:dyDescent="0.2"/>
  <cols>
    <col min="1" max="1" width="45.85546875" style="7" customWidth="1"/>
    <col min="2" max="29" width="5.7109375" style="7" customWidth="1"/>
    <col min="30" max="30" width="6.28515625" style="85" bestFit="1" customWidth="1"/>
    <col min="31" max="31" width="5.7109375" style="85" customWidth="1"/>
    <col min="32" max="37" width="20.7109375" style="7" customWidth="1"/>
    <col min="38" max="16384" width="8.85546875" style="7"/>
  </cols>
  <sheetData>
    <row r="1" spans="1:37" s="1" customFormat="1" ht="18.75" x14ac:dyDescent="0.3">
      <c r="A1" s="647" t="s">
        <v>62</v>
      </c>
      <c r="B1" s="647"/>
      <c r="C1" s="647"/>
      <c r="D1" s="647"/>
      <c r="E1" s="647"/>
      <c r="F1" s="647"/>
      <c r="G1" s="647"/>
      <c r="H1" s="80" t="s">
        <v>63</v>
      </c>
      <c r="I1" s="82"/>
      <c r="K1" s="83"/>
      <c r="L1" s="132" t="s">
        <v>2</v>
      </c>
      <c r="M1" s="648">
        <v>44835</v>
      </c>
      <c r="N1" s="649"/>
      <c r="O1" s="650"/>
      <c r="P1" s="650"/>
      <c r="U1" s="134"/>
      <c r="AC1" s="1" t="s">
        <v>64</v>
      </c>
      <c r="AD1" s="311">
        <v>5.01</v>
      </c>
      <c r="AE1" s="85"/>
    </row>
    <row r="2" spans="1:37" s="3" customFormat="1" x14ac:dyDescent="0.2">
      <c r="A2" s="27" t="s">
        <v>65</v>
      </c>
      <c r="B2" s="28">
        <v>5</v>
      </c>
      <c r="C2" s="29"/>
      <c r="D2" s="30"/>
      <c r="E2" s="27"/>
      <c r="F2" s="30"/>
      <c r="H2" s="343" t="s">
        <v>3</v>
      </c>
      <c r="I2" s="18"/>
      <c r="N2" s="4"/>
      <c r="O2" s="4"/>
      <c r="P2" s="4"/>
      <c r="Q2" s="4"/>
      <c r="R2" s="2"/>
      <c r="S2" s="2"/>
      <c r="T2" s="2"/>
      <c r="U2" s="2"/>
      <c r="V2" s="2"/>
      <c r="W2" s="2"/>
      <c r="X2" s="2"/>
      <c r="Y2" s="2"/>
      <c r="Z2" s="2"/>
      <c r="AA2" s="2"/>
      <c r="AB2" s="2"/>
      <c r="AC2" s="2"/>
      <c r="AD2" s="86"/>
      <c r="AE2" s="86"/>
    </row>
    <row r="3" spans="1:37" s="3" customFormat="1" ht="11.25" x14ac:dyDescent="0.2">
      <c r="A3" s="27" t="s">
        <v>66</v>
      </c>
      <c r="B3" s="31">
        <v>1.8</v>
      </c>
      <c r="C3" s="29"/>
      <c r="D3" s="30"/>
      <c r="E3" s="27"/>
      <c r="F3" s="30"/>
      <c r="I3" s="2"/>
      <c r="J3" s="2"/>
      <c r="K3" s="2"/>
      <c r="N3" s="4"/>
      <c r="O3" s="4"/>
      <c r="P3" s="4"/>
      <c r="Q3" s="4"/>
      <c r="R3" s="2"/>
      <c r="S3" s="2"/>
      <c r="T3" s="2"/>
      <c r="U3" s="2"/>
      <c r="V3" s="2"/>
      <c r="W3" s="2"/>
      <c r="X3" s="2"/>
      <c r="Y3" s="2"/>
      <c r="Z3" s="2"/>
      <c r="AA3" s="2"/>
      <c r="AB3" s="2"/>
      <c r="AC3" s="2"/>
      <c r="AD3" s="86"/>
      <c r="AE3" s="86"/>
    </row>
    <row r="4" spans="1:37" s="3" customFormat="1" ht="11.25" x14ac:dyDescent="0.2">
      <c r="A4" s="27" t="s">
        <v>67</v>
      </c>
      <c r="B4" s="28">
        <f>ROUND(B2*B3,0)</f>
        <v>9</v>
      </c>
      <c r="C4" s="29"/>
      <c r="D4" s="30"/>
      <c r="E4" s="27"/>
      <c r="F4" s="30"/>
      <c r="G4" s="2"/>
      <c r="H4" s="2"/>
      <c r="I4" s="2"/>
      <c r="J4" s="2"/>
      <c r="K4" s="2"/>
      <c r="N4" s="4"/>
      <c r="O4" s="4"/>
      <c r="P4" s="4"/>
      <c r="Q4" s="4"/>
      <c r="R4" s="2"/>
      <c r="S4" s="2"/>
      <c r="T4" s="2"/>
      <c r="U4" s="2"/>
      <c r="V4" s="2"/>
      <c r="W4" s="2"/>
      <c r="X4" s="2"/>
      <c r="Y4" s="2"/>
      <c r="Z4" s="2"/>
      <c r="AA4" s="2"/>
      <c r="AB4" s="2"/>
      <c r="AC4" s="2"/>
      <c r="AD4" s="86"/>
      <c r="AE4" s="86"/>
    </row>
    <row r="5" spans="1:37" s="3" customFormat="1" ht="11.25" x14ac:dyDescent="0.2">
      <c r="A5" s="27" t="s">
        <v>68</v>
      </c>
      <c r="B5" s="29">
        <v>1.5</v>
      </c>
      <c r="C5" s="32"/>
      <c r="D5" s="30"/>
      <c r="E5" s="27"/>
      <c r="F5" s="30"/>
      <c r="G5" s="2"/>
      <c r="H5" s="2"/>
      <c r="I5" s="2"/>
      <c r="J5" s="2"/>
      <c r="K5" s="2"/>
      <c r="N5" s="4"/>
      <c r="O5" s="4"/>
      <c r="P5" s="4"/>
      <c r="Q5" s="4"/>
      <c r="R5" s="2"/>
      <c r="S5" s="2"/>
      <c r="T5" s="2"/>
      <c r="U5" s="2"/>
      <c r="V5" s="2"/>
      <c r="W5" s="2"/>
      <c r="X5" s="2"/>
      <c r="Y5" s="2"/>
      <c r="Z5" s="2"/>
      <c r="AB5" s="2"/>
      <c r="AC5" s="2"/>
      <c r="AD5" s="86"/>
      <c r="AE5" s="86"/>
    </row>
    <row r="6" spans="1:37" s="3" customFormat="1" ht="11.25" x14ac:dyDescent="0.2">
      <c r="A6" s="33" t="s">
        <v>69</v>
      </c>
      <c r="B6" s="29">
        <v>27</v>
      </c>
      <c r="C6" s="32"/>
      <c r="D6" s="30"/>
      <c r="E6" s="33"/>
      <c r="F6" s="30"/>
      <c r="G6" s="2"/>
      <c r="H6" s="2"/>
      <c r="I6" s="2"/>
      <c r="J6" s="2"/>
      <c r="K6" s="2"/>
      <c r="L6" s="4"/>
      <c r="M6" s="4"/>
      <c r="N6" s="4"/>
      <c r="O6" s="4"/>
      <c r="P6" s="239"/>
      <c r="Q6" s="4"/>
      <c r="R6" s="2"/>
      <c r="S6" s="2"/>
      <c r="T6" s="2"/>
      <c r="U6" s="2"/>
      <c r="V6" s="2"/>
      <c r="W6" s="2"/>
      <c r="X6" s="2"/>
      <c r="Y6" s="2"/>
      <c r="Z6" s="2"/>
      <c r="AA6" s="2"/>
      <c r="AB6" s="2"/>
      <c r="AC6" s="2"/>
      <c r="AD6" s="86"/>
      <c r="AE6" s="86"/>
      <c r="AF6" s="59"/>
    </row>
    <row r="7" spans="1:37" s="3" customFormat="1" ht="11.25" x14ac:dyDescent="0.2">
      <c r="A7" s="27" t="s">
        <v>70</v>
      </c>
      <c r="B7" s="29">
        <f>B6*B4</f>
        <v>243</v>
      </c>
      <c r="C7" s="34"/>
      <c r="D7" s="35"/>
      <c r="E7" s="27"/>
      <c r="F7" s="30"/>
      <c r="G7" s="2"/>
      <c r="H7" s="2"/>
      <c r="I7" s="2"/>
      <c r="J7" s="2"/>
      <c r="K7" s="2"/>
      <c r="L7" s="2"/>
      <c r="M7" s="2"/>
      <c r="N7" s="2"/>
      <c r="O7" s="2"/>
      <c r="P7" s="2"/>
      <c r="Q7" s="2"/>
      <c r="R7" s="2"/>
      <c r="S7" s="2"/>
      <c r="T7" s="2"/>
      <c r="U7" s="2"/>
      <c r="V7" s="2"/>
      <c r="W7" s="2"/>
      <c r="X7" s="2"/>
      <c r="Y7" s="2"/>
      <c r="Z7" s="2"/>
      <c r="AA7" s="2"/>
      <c r="AB7" s="2"/>
      <c r="AC7" s="2"/>
      <c r="AD7" s="86"/>
      <c r="AE7" s="86"/>
    </row>
    <row r="8" spans="1:37" s="3" customFormat="1" ht="11.25" x14ac:dyDescent="0.2">
      <c r="A8" s="27" t="s">
        <v>71</v>
      </c>
      <c r="B8" s="28">
        <f>B7/B5</f>
        <v>162</v>
      </c>
      <c r="C8" s="29"/>
      <c r="D8" s="35"/>
      <c r="E8" s="27"/>
      <c r="F8" s="30"/>
      <c r="G8" s="2"/>
      <c r="H8" s="2"/>
      <c r="I8" s="2"/>
      <c r="J8" s="2"/>
      <c r="K8" s="2"/>
      <c r="L8" s="2"/>
      <c r="M8" s="2"/>
      <c r="N8" s="2"/>
      <c r="O8" s="2"/>
      <c r="P8" s="2"/>
      <c r="Q8" s="2"/>
      <c r="R8" s="2"/>
      <c r="S8" s="2"/>
      <c r="T8" s="2"/>
      <c r="U8" s="2"/>
      <c r="V8" s="2"/>
      <c r="W8" s="2"/>
      <c r="X8" s="2"/>
      <c r="Y8" s="2"/>
      <c r="Z8" s="2"/>
      <c r="AA8" s="2"/>
      <c r="AB8" s="2"/>
      <c r="AC8" s="2"/>
      <c r="AD8" s="86"/>
      <c r="AE8" s="86"/>
    </row>
    <row r="9" spans="1:37" s="3" customFormat="1" ht="11.25" x14ac:dyDescent="0.2">
      <c r="A9" s="27" t="s">
        <v>72</v>
      </c>
      <c r="B9" s="31">
        <f>B4*C9</f>
        <v>9</v>
      </c>
      <c r="C9" s="29">
        <v>1</v>
      </c>
      <c r="D9" s="150" t="s">
        <v>73</v>
      </c>
      <c r="E9" s="27"/>
      <c r="F9" s="2"/>
      <c r="G9" s="56" t="s">
        <v>74</v>
      </c>
      <c r="H9" s="57">
        <v>0.4</v>
      </c>
      <c r="I9" s="2"/>
      <c r="J9" s="2"/>
      <c r="K9" s="2"/>
      <c r="L9" s="2"/>
      <c r="M9" s="2"/>
      <c r="N9" s="2"/>
      <c r="O9" s="2"/>
      <c r="P9" s="2"/>
      <c r="Q9" s="2"/>
      <c r="R9" s="2"/>
      <c r="S9" s="2"/>
      <c r="T9" s="2"/>
      <c r="U9" s="2"/>
      <c r="V9" s="2"/>
      <c r="W9" s="2"/>
      <c r="X9" s="2"/>
      <c r="Y9" s="2"/>
      <c r="Z9" s="2"/>
      <c r="AA9" s="2"/>
      <c r="AB9" s="2"/>
      <c r="AC9" s="2"/>
      <c r="AD9" s="86"/>
      <c r="AE9" s="86"/>
    </row>
    <row r="10" spans="1:37" s="3" customFormat="1" ht="11.25" x14ac:dyDescent="0.2">
      <c r="A10" s="27" t="s">
        <v>75</v>
      </c>
      <c r="B10" s="31">
        <f>B4*C10</f>
        <v>24.3</v>
      </c>
      <c r="C10" s="29">
        <v>2.7</v>
      </c>
      <c r="D10" s="150" t="s">
        <v>73</v>
      </c>
      <c r="E10" s="27"/>
      <c r="F10" s="2"/>
      <c r="G10" s="58" t="s">
        <v>76</v>
      </c>
      <c r="H10" s="57">
        <v>0.28599999999999998</v>
      </c>
      <c r="I10" s="2"/>
      <c r="J10" s="2"/>
      <c r="K10" s="2"/>
      <c r="L10" s="2"/>
      <c r="M10" s="2"/>
      <c r="N10" s="2"/>
      <c r="O10" s="2"/>
      <c r="P10" s="2"/>
      <c r="Q10" s="2"/>
      <c r="R10" s="2"/>
      <c r="S10" s="2"/>
      <c r="T10" s="2"/>
      <c r="U10" s="2"/>
      <c r="V10" s="2"/>
      <c r="W10" s="2"/>
      <c r="X10" s="2"/>
      <c r="Y10" s="2"/>
      <c r="Z10" s="2"/>
      <c r="AA10" s="2"/>
      <c r="AB10" s="2"/>
      <c r="AC10" s="2"/>
      <c r="AD10" s="86"/>
      <c r="AE10" s="86"/>
    </row>
    <row r="11" spans="1:37" s="3" customFormat="1" ht="11.25" x14ac:dyDescent="0.2">
      <c r="A11" s="149" t="s">
        <v>77</v>
      </c>
      <c r="B11" s="3">
        <f>C11*B4</f>
        <v>1.8</v>
      </c>
      <c r="C11" s="4">
        <v>0.2</v>
      </c>
      <c r="D11" s="150" t="s">
        <v>73</v>
      </c>
      <c r="E11" s="2"/>
      <c r="F11" s="2"/>
      <c r="G11" s="58"/>
      <c r="H11" s="57"/>
      <c r="I11" s="2"/>
      <c r="J11" s="2"/>
      <c r="K11" s="2"/>
      <c r="L11" s="2"/>
      <c r="M11" s="2"/>
      <c r="N11" s="2"/>
      <c r="O11" s="2"/>
      <c r="P11" s="2"/>
      <c r="Q11" s="2"/>
      <c r="R11" s="2"/>
      <c r="S11" s="2"/>
      <c r="T11" s="2"/>
      <c r="U11" s="2"/>
      <c r="V11" s="2"/>
      <c r="W11" s="2"/>
      <c r="X11" s="2"/>
      <c r="Y11" s="2"/>
      <c r="Z11" s="2"/>
      <c r="AA11" s="2"/>
      <c r="AB11" s="2"/>
      <c r="AC11" s="2"/>
      <c r="AD11" s="86"/>
      <c r="AE11" s="86"/>
    </row>
    <row r="12" spans="1:37" s="3" customFormat="1" ht="11.25" x14ac:dyDescent="0.2">
      <c r="A12" s="135" t="s">
        <v>78</v>
      </c>
      <c r="B12" s="31"/>
      <c r="C12" s="29"/>
      <c r="D12" s="35"/>
      <c r="E12" s="27"/>
      <c r="F12" s="30"/>
      <c r="G12" s="2"/>
      <c r="H12" s="2"/>
      <c r="I12" s="2"/>
      <c r="J12" s="2"/>
      <c r="K12" s="2"/>
      <c r="L12" s="2"/>
      <c r="M12" s="2"/>
      <c r="N12" s="2"/>
      <c r="O12" s="2"/>
      <c r="P12" s="2"/>
      <c r="Q12" s="2"/>
      <c r="R12" s="2"/>
      <c r="S12" s="2"/>
      <c r="T12" s="2"/>
      <c r="U12" s="2"/>
      <c r="V12" s="2"/>
      <c r="W12" s="2"/>
      <c r="X12" s="2"/>
      <c r="Y12" s="2"/>
      <c r="Z12" s="2"/>
      <c r="AA12" s="2"/>
      <c r="AB12" s="2"/>
      <c r="AC12" s="2"/>
      <c r="AD12" s="86"/>
      <c r="AE12" s="86"/>
    </row>
    <row r="13" spans="1:37" s="5" customFormat="1" ht="59.25" x14ac:dyDescent="0.4">
      <c r="A13" s="412" t="s">
        <v>79</v>
      </c>
      <c r="B13" s="413" t="s">
        <v>80</v>
      </c>
      <c r="C13" s="413" t="s">
        <v>80</v>
      </c>
      <c r="D13" s="413" t="s">
        <v>80</v>
      </c>
      <c r="E13" s="413" t="s">
        <v>80</v>
      </c>
      <c r="F13" s="413" t="s">
        <v>80</v>
      </c>
      <c r="G13" s="413" t="s">
        <v>80</v>
      </c>
      <c r="H13" s="413" t="s">
        <v>81</v>
      </c>
      <c r="I13" s="413" t="s">
        <v>81</v>
      </c>
      <c r="J13" s="413" t="s">
        <v>81</v>
      </c>
      <c r="K13" s="414" t="s">
        <v>82</v>
      </c>
      <c r="L13" s="414" t="s">
        <v>83</v>
      </c>
      <c r="M13" s="414" t="s">
        <v>83</v>
      </c>
      <c r="N13" s="413" t="s">
        <v>84</v>
      </c>
      <c r="O13" s="413" t="s">
        <v>84</v>
      </c>
      <c r="P13" s="413" t="s">
        <v>84</v>
      </c>
      <c r="Q13" s="413" t="s">
        <v>84</v>
      </c>
      <c r="R13" s="413" t="s">
        <v>85</v>
      </c>
      <c r="S13" s="413" t="s">
        <v>85</v>
      </c>
      <c r="T13" s="413" t="s">
        <v>85</v>
      </c>
      <c r="U13" s="413" t="s">
        <v>85</v>
      </c>
      <c r="V13" s="413" t="s">
        <v>85</v>
      </c>
      <c r="W13" s="413" t="s">
        <v>85</v>
      </c>
      <c r="X13" s="413" t="s">
        <v>84</v>
      </c>
      <c r="Y13" s="413" t="s">
        <v>84</v>
      </c>
      <c r="Z13" s="413" t="s">
        <v>84</v>
      </c>
      <c r="AA13" s="413" t="s">
        <v>84</v>
      </c>
      <c r="AB13" s="415" t="s">
        <v>84</v>
      </c>
      <c r="AC13" s="416" t="s">
        <v>86</v>
      </c>
      <c r="AD13" s="85"/>
      <c r="AE13" s="85"/>
      <c r="AG13" s="88" t="s">
        <v>87</v>
      </c>
      <c r="AH13" s="89"/>
      <c r="AI13" s="89"/>
      <c r="AJ13" s="89"/>
      <c r="AK13" s="89"/>
    </row>
    <row r="14" spans="1:37" s="6" customFormat="1" ht="12" x14ac:dyDescent="0.2">
      <c r="A14" s="412" t="s">
        <v>88</v>
      </c>
      <c r="B14" s="417" t="s">
        <v>89</v>
      </c>
      <c r="C14" s="417" t="s">
        <v>90</v>
      </c>
      <c r="D14" s="417" t="s">
        <v>91</v>
      </c>
      <c r="E14" s="417" t="s">
        <v>92</v>
      </c>
      <c r="F14" s="417" t="s">
        <v>93</v>
      </c>
      <c r="G14" s="417" t="s">
        <v>94</v>
      </c>
      <c r="H14" s="417" t="s">
        <v>95</v>
      </c>
      <c r="I14" s="417" t="s">
        <v>96</v>
      </c>
      <c r="J14" s="417" t="s">
        <v>97</v>
      </c>
      <c r="K14" s="417" t="s">
        <v>98</v>
      </c>
      <c r="L14" s="417" t="s">
        <v>99</v>
      </c>
      <c r="M14" s="417" t="s">
        <v>100</v>
      </c>
      <c r="N14" s="417" t="s">
        <v>101</v>
      </c>
      <c r="O14" s="417" t="s">
        <v>102</v>
      </c>
      <c r="P14" s="417" t="s">
        <v>103</v>
      </c>
      <c r="Q14" s="417" t="s">
        <v>104</v>
      </c>
      <c r="R14" s="417" t="s">
        <v>105</v>
      </c>
      <c r="S14" s="417" t="s">
        <v>106</v>
      </c>
      <c r="T14" s="417" t="s">
        <v>107</v>
      </c>
      <c r="U14" s="417" t="s">
        <v>108</v>
      </c>
      <c r="V14" s="417" t="s">
        <v>109</v>
      </c>
      <c r="W14" s="417" t="s">
        <v>110</v>
      </c>
      <c r="X14" s="417" t="s">
        <v>111</v>
      </c>
      <c r="Y14" s="417" t="s">
        <v>112</v>
      </c>
      <c r="Z14" s="417" t="s">
        <v>113</v>
      </c>
      <c r="AA14" s="417" t="s">
        <v>114</v>
      </c>
      <c r="AB14" s="389" t="s">
        <v>115</v>
      </c>
      <c r="AC14" s="417" t="s">
        <v>116</v>
      </c>
      <c r="AD14" s="90">
        <v>1</v>
      </c>
      <c r="AE14" s="90"/>
      <c r="AG14" s="91"/>
      <c r="AH14" s="91"/>
      <c r="AI14" s="91"/>
      <c r="AJ14" s="91"/>
      <c r="AK14" s="91"/>
    </row>
    <row r="15" spans="1:37" s="6" customFormat="1" ht="12" x14ac:dyDescent="0.2">
      <c r="A15" s="412" t="s">
        <v>117</v>
      </c>
      <c r="B15" s="417">
        <v>1</v>
      </c>
      <c r="C15" s="417">
        <v>2</v>
      </c>
      <c r="D15" s="417">
        <v>3</v>
      </c>
      <c r="E15" s="417">
        <v>4</v>
      </c>
      <c r="F15" s="417">
        <v>5</v>
      </c>
      <c r="G15" s="417">
        <v>6</v>
      </c>
      <c r="H15" s="417">
        <v>7</v>
      </c>
      <c r="I15" s="417">
        <v>8</v>
      </c>
      <c r="J15" s="417">
        <v>9</v>
      </c>
      <c r="K15" s="417">
        <v>10</v>
      </c>
      <c r="L15" s="417">
        <v>11</v>
      </c>
      <c r="M15" s="417">
        <v>12</v>
      </c>
      <c r="N15" s="417">
        <v>13</v>
      </c>
      <c r="O15" s="417">
        <v>14</v>
      </c>
      <c r="P15" s="417">
        <v>15</v>
      </c>
      <c r="Q15" s="417">
        <v>16</v>
      </c>
      <c r="R15" s="417">
        <v>17</v>
      </c>
      <c r="S15" s="417">
        <v>18</v>
      </c>
      <c r="T15" s="417">
        <v>19</v>
      </c>
      <c r="U15" s="417">
        <v>20</v>
      </c>
      <c r="V15" s="417">
        <v>21</v>
      </c>
      <c r="W15" s="417">
        <v>22</v>
      </c>
      <c r="X15" s="417">
        <v>23</v>
      </c>
      <c r="Y15" s="417">
        <v>24</v>
      </c>
      <c r="Z15" s="417">
        <v>25</v>
      </c>
      <c r="AA15" s="417">
        <v>26</v>
      </c>
      <c r="AB15" s="389">
        <v>27</v>
      </c>
      <c r="AC15" s="417">
        <v>28</v>
      </c>
      <c r="AD15" s="92">
        <v>2</v>
      </c>
      <c r="AE15" s="92"/>
      <c r="AG15" s="91"/>
      <c r="AH15" s="91"/>
      <c r="AI15" s="91"/>
      <c r="AJ15" s="91"/>
      <c r="AK15" s="91"/>
    </row>
    <row r="16" spans="1:37" ht="12" x14ac:dyDescent="0.2">
      <c r="A16" s="412" t="s">
        <v>118</v>
      </c>
      <c r="B16" s="651" t="s">
        <v>119</v>
      </c>
      <c r="C16" s="652"/>
      <c r="D16" s="652"/>
      <c r="E16" s="652"/>
      <c r="F16" s="652"/>
      <c r="G16" s="653"/>
      <c r="H16" s="651" t="s">
        <v>120</v>
      </c>
      <c r="I16" s="652"/>
      <c r="J16" s="653"/>
      <c r="K16" s="644" t="s">
        <v>121</v>
      </c>
      <c r="L16" s="645"/>
      <c r="M16" s="646"/>
      <c r="N16" s="644" t="s">
        <v>122</v>
      </c>
      <c r="O16" s="645"/>
      <c r="P16" s="645"/>
      <c r="Q16" s="646"/>
      <c r="R16" s="644" t="s">
        <v>123</v>
      </c>
      <c r="S16" s="645"/>
      <c r="T16" s="645"/>
      <c r="U16" s="645"/>
      <c r="V16" s="645"/>
      <c r="W16" s="646"/>
      <c r="X16" s="644" t="s">
        <v>84</v>
      </c>
      <c r="Y16" s="645"/>
      <c r="Z16" s="645"/>
      <c r="AA16" s="645"/>
      <c r="AB16" s="645"/>
      <c r="AC16" s="417" t="s">
        <v>124</v>
      </c>
      <c r="AD16" s="90">
        <v>3</v>
      </c>
      <c r="AE16" s="90"/>
      <c r="AG16" s="94"/>
      <c r="AH16" s="95"/>
      <c r="AI16" s="87"/>
      <c r="AJ16" s="87"/>
      <c r="AK16" s="96"/>
    </row>
    <row r="17" spans="1:37" x14ac:dyDescent="0.2">
      <c r="A17" s="97" t="s">
        <v>125</v>
      </c>
      <c r="B17" s="365"/>
      <c r="C17" s="8"/>
      <c r="D17" s="8"/>
      <c r="E17" s="8"/>
      <c r="F17" s="8"/>
      <c r="G17" s="8"/>
      <c r="H17" s="8"/>
      <c r="I17" s="8"/>
      <c r="J17" s="8"/>
      <c r="K17" s="8"/>
      <c r="L17" s="8"/>
      <c r="M17" s="8"/>
      <c r="N17" s="8"/>
      <c r="O17" s="8"/>
      <c r="P17" s="8"/>
      <c r="Q17" s="8"/>
      <c r="R17" s="8"/>
      <c r="S17" s="8"/>
      <c r="T17" s="9"/>
      <c r="U17" s="8"/>
      <c r="V17" s="8"/>
      <c r="W17" s="8"/>
      <c r="X17" s="8"/>
      <c r="Y17" s="8"/>
      <c r="Z17" s="8"/>
      <c r="AA17" s="8"/>
      <c r="AB17" s="8"/>
      <c r="AC17" s="19"/>
      <c r="AD17" s="92">
        <v>4</v>
      </c>
      <c r="AE17" s="92"/>
      <c r="AG17" s="629" t="s">
        <v>126</v>
      </c>
      <c r="AH17" s="629"/>
      <c r="AI17" s="629"/>
      <c r="AJ17" s="629"/>
      <c r="AK17" s="98"/>
    </row>
    <row r="18" spans="1:37" s="99" customFormat="1" ht="12" x14ac:dyDescent="0.2">
      <c r="A18" s="418" t="s">
        <v>127</v>
      </c>
      <c r="B18" s="419">
        <f t="shared" ref="B18:AB18" si="0">IF(B96&lt;80,B97,MIN(B96,80))</f>
        <v>0</v>
      </c>
      <c r="C18" s="419">
        <f t="shared" si="0"/>
        <v>0</v>
      </c>
      <c r="D18" s="419">
        <f t="shared" si="0"/>
        <v>0</v>
      </c>
      <c r="E18" s="419">
        <f t="shared" si="0"/>
        <v>0</v>
      </c>
      <c r="F18" s="419">
        <f t="shared" si="0"/>
        <v>0</v>
      </c>
      <c r="G18" s="419">
        <f t="shared" si="0"/>
        <v>4.9431538436497391E-2</v>
      </c>
      <c r="H18" s="419">
        <f t="shared" si="0"/>
        <v>2.0494315384364974</v>
      </c>
      <c r="I18" s="419">
        <f t="shared" si="0"/>
        <v>2.0494315384364974</v>
      </c>
      <c r="J18" s="419">
        <f t="shared" si="0"/>
        <v>12.049431538436497</v>
      </c>
      <c r="K18" s="419">
        <f t="shared" si="0"/>
        <v>37.049431538436494</v>
      </c>
      <c r="L18" s="419">
        <f t="shared" si="0"/>
        <v>80</v>
      </c>
      <c r="M18" s="419">
        <f t="shared" si="0"/>
        <v>80</v>
      </c>
      <c r="N18" s="419">
        <f t="shared" si="0"/>
        <v>80</v>
      </c>
      <c r="O18" s="419">
        <f t="shared" si="0"/>
        <v>80</v>
      </c>
      <c r="P18" s="419">
        <f t="shared" si="0"/>
        <v>80</v>
      </c>
      <c r="Q18" s="419">
        <f t="shared" si="0"/>
        <v>80</v>
      </c>
      <c r="R18" s="419">
        <f t="shared" si="0"/>
        <v>80</v>
      </c>
      <c r="S18" s="419">
        <f t="shared" si="0"/>
        <v>80</v>
      </c>
      <c r="T18" s="419">
        <f t="shared" si="0"/>
        <v>80</v>
      </c>
      <c r="U18" s="419">
        <f t="shared" si="0"/>
        <v>80</v>
      </c>
      <c r="V18" s="419">
        <f t="shared" si="0"/>
        <v>80</v>
      </c>
      <c r="W18" s="419">
        <f t="shared" si="0"/>
        <v>80</v>
      </c>
      <c r="X18" s="419">
        <f t="shared" si="0"/>
        <v>80</v>
      </c>
      <c r="Y18" s="419">
        <f t="shared" si="0"/>
        <v>80</v>
      </c>
      <c r="Z18" s="419">
        <f t="shared" si="0"/>
        <v>80</v>
      </c>
      <c r="AA18" s="419">
        <f t="shared" si="0"/>
        <v>80</v>
      </c>
      <c r="AB18" s="420">
        <f t="shared" si="0"/>
        <v>80</v>
      </c>
      <c r="AC18" s="419">
        <f>IF(AC96&lt;80,AC97,MIN(AC96,80))</f>
        <v>0</v>
      </c>
      <c r="AD18" s="90">
        <v>5</v>
      </c>
      <c r="AE18" s="90"/>
      <c r="AG18" s="102"/>
      <c r="AH18" s="102"/>
      <c r="AI18" s="101"/>
      <c r="AJ18" s="101"/>
      <c r="AK18" s="103"/>
    </row>
    <row r="19" spans="1:37" ht="12" x14ac:dyDescent="0.2">
      <c r="A19" s="421" t="s">
        <v>128</v>
      </c>
      <c r="B19" s="422">
        <v>0.5</v>
      </c>
      <c r="C19" s="422">
        <v>0.5</v>
      </c>
      <c r="D19" s="422">
        <v>0.5</v>
      </c>
      <c r="E19" s="422">
        <v>0.5</v>
      </c>
      <c r="F19" s="422">
        <v>0.5</v>
      </c>
      <c r="G19" s="422">
        <v>0.5</v>
      </c>
      <c r="H19" s="422">
        <v>0.55000000000000004</v>
      </c>
      <c r="I19" s="422">
        <v>0.6</v>
      </c>
      <c r="J19" s="422">
        <v>0.65</v>
      </c>
      <c r="K19" s="422">
        <v>0.7</v>
      </c>
      <c r="L19" s="422">
        <v>0.7</v>
      </c>
      <c r="M19" s="422">
        <v>0.7</v>
      </c>
      <c r="N19" s="422">
        <v>0.7</v>
      </c>
      <c r="O19" s="422">
        <v>0.7</v>
      </c>
      <c r="P19" s="422">
        <v>0.7</v>
      </c>
      <c r="Q19" s="422">
        <v>0.4</v>
      </c>
      <c r="R19" s="422">
        <v>0.8</v>
      </c>
      <c r="S19" s="422">
        <v>0.8</v>
      </c>
      <c r="T19" s="422">
        <v>0.8</v>
      </c>
      <c r="U19" s="422">
        <v>0.8</v>
      </c>
      <c r="V19" s="422">
        <v>0.8</v>
      </c>
      <c r="W19" s="422">
        <v>0.7</v>
      </c>
      <c r="X19" s="422">
        <v>0.4</v>
      </c>
      <c r="Y19" s="422">
        <v>0.6</v>
      </c>
      <c r="Z19" s="422">
        <v>0.6</v>
      </c>
      <c r="AA19" s="422">
        <v>0.6</v>
      </c>
      <c r="AB19" s="332">
        <v>0.6</v>
      </c>
      <c r="AC19" s="50">
        <f>H9</f>
        <v>0.4</v>
      </c>
      <c r="AD19" s="92">
        <v>6</v>
      </c>
      <c r="AE19" s="92"/>
      <c r="AF19" s="93"/>
      <c r="AG19" s="96" t="s">
        <v>129</v>
      </c>
      <c r="AH19" s="96"/>
      <c r="AI19" s="103"/>
      <c r="AJ19" s="103"/>
      <c r="AK19" s="87"/>
    </row>
    <row r="20" spans="1:37" ht="12" x14ac:dyDescent="0.2">
      <c r="A20" s="423" t="s">
        <v>130</v>
      </c>
      <c r="B20" s="424"/>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425"/>
      <c r="AD20" s="90">
        <v>7</v>
      </c>
      <c r="AE20" s="90"/>
      <c r="AF20" s="93"/>
      <c r="AG20" s="87"/>
      <c r="AH20" s="426" t="s">
        <v>105</v>
      </c>
      <c r="AI20" s="104" t="s">
        <v>131</v>
      </c>
      <c r="AJ20" s="87"/>
      <c r="AK20" s="87"/>
    </row>
    <row r="21" spans="1:37" s="10" customFormat="1" ht="12" x14ac:dyDescent="0.2">
      <c r="A21" s="427" t="s">
        <v>132</v>
      </c>
      <c r="B21" s="152">
        <f t="shared" ref="B21:AC21" si="1">B19*$B$8</f>
        <v>81</v>
      </c>
      <c r="C21" s="152">
        <f t="shared" si="1"/>
        <v>81</v>
      </c>
      <c r="D21" s="152">
        <f t="shared" si="1"/>
        <v>81</v>
      </c>
      <c r="E21" s="152">
        <f t="shared" si="1"/>
        <v>81</v>
      </c>
      <c r="F21" s="152">
        <f t="shared" si="1"/>
        <v>81</v>
      </c>
      <c r="G21" s="152">
        <f t="shared" si="1"/>
        <v>81</v>
      </c>
      <c r="H21" s="152">
        <f t="shared" si="1"/>
        <v>89.100000000000009</v>
      </c>
      <c r="I21" s="152">
        <f t="shared" si="1"/>
        <v>97.2</v>
      </c>
      <c r="J21" s="152">
        <f t="shared" si="1"/>
        <v>105.3</v>
      </c>
      <c r="K21" s="152">
        <f t="shared" si="1"/>
        <v>113.39999999999999</v>
      </c>
      <c r="L21" s="152">
        <f t="shared" si="1"/>
        <v>113.39999999999999</v>
      </c>
      <c r="M21" s="152">
        <f t="shared" si="1"/>
        <v>113.39999999999999</v>
      </c>
      <c r="N21" s="152">
        <f t="shared" si="1"/>
        <v>113.39999999999999</v>
      </c>
      <c r="O21" s="152">
        <f t="shared" si="1"/>
        <v>113.39999999999999</v>
      </c>
      <c r="P21" s="152">
        <f t="shared" si="1"/>
        <v>113.39999999999999</v>
      </c>
      <c r="Q21" s="152">
        <f t="shared" si="1"/>
        <v>64.8</v>
      </c>
      <c r="R21" s="152">
        <f t="shared" si="1"/>
        <v>129.6</v>
      </c>
      <c r="S21" s="152">
        <f t="shared" si="1"/>
        <v>129.6</v>
      </c>
      <c r="T21" s="152">
        <f t="shared" si="1"/>
        <v>129.6</v>
      </c>
      <c r="U21" s="152">
        <f t="shared" si="1"/>
        <v>129.6</v>
      </c>
      <c r="V21" s="152">
        <f t="shared" si="1"/>
        <v>129.6</v>
      </c>
      <c r="W21" s="152">
        <f t="shared" si="1"/>
        <v>113.39999999999999</v>
      </c>
      <c r="X21" s="152">
        <f t="shared" si="1"/>
        <v>64.8</v>
      </c>
      <c r="Y21" s="152">
        <f t="shared" si="1"/>
        <v>97.2</v>
      </c>
      <c r="Z21" s="152">
        <f t="shared" si="1"/>
        <v>97.2</v>
      </c>
      <c r="AA21" s="152">
        <f t="shared" si="1"/>
        <v>97.2</v>
      </c>
      <c r="AB21" s="323">
        <f t="shared" si="1"/>
        <v>97.2</v>
      </c>
      <c r="AC21" s="428">
        <f t="shared" si="1"/>
        <v>64.8</v>
      </c>
      <c r="AD21" s="92">
        <v>8</v>
      </c>
      <c r="AE21" s="92"/>
      <c r="AF21" s="93"/>
      <c r="AG21" s="87"/>
      <c r="AH21" s="87"/>
      <c r="AI21" s="87"/>
      <c r="AJ21" s="87"/>
      <c r="AK21" s="87"/>
    </row>
    <row r="22" spans="1:37" s="11" customFormat="1" ht="12" x14ac:dyDescent="0.2">
      <c r="A22" s="427" t="s">
        <v>133</v>
      </c>
      <c r="B22" s="429">
        <f t="shared" ref="B22:AC22" si="2">B21*$B$5</f>
        <v>121.5</v>
      </c>
      <c r="C22" s="429">
        <f t="shared" si="2"/>
        <v>121.5</v>
      </c>
      <c r="D22" s="429">
        <f t="shared" si="2"/>
        <v>121.5</v>
      </c>
      <c r="E22" s="429">
        <f t="shared" si="2"/>
        <v>121.5</v>
      </c>
      <c r="F22" s="429">
        <f t="shared" si="2"/>
        <v>121.5</v>
      </c>
      <c r="G22" s="429">
        <f t="shared" si="2"/>
        <v>121.5</v>
      </c>
      <c r="H22" s="429">
        <f t="shared" si="2"/>
        <v>133.65</v>
      </c>
      <c r="I22" s="429">
        <f t="shared" si="2"/>
        <v>145.80000000000001</v>
      </c>
      <c r="J22" s="429">
        <f t="shared" si="2"/>
        <v>157.94999999999999</v>
      </c>
      <c r="K22" s="429">
        <f t="shared" si="2"/>
        <v>170.1</v>
      </c>
      <c r="L22" s="429">
        <f t="shared" si="2"/>
        <v>170.1</v>
      </c>
      <c r="M22" s="429">
        <f t="shared" si="2"/>
        <v>170.1</v>
      </c>
      <c r="N22" s="429">
        <f t="shared" si="2"/>
        <v>170.1</v>
      </c>
      <c r="O22" s="429">
        <f t="shared" si="2"/>
        <v>170.1</v>
      </c>
      <c r="P22" s="429">
        <f t="shared" si="2"/>
        <v>170.1</v>
      </c>
      <c r="Q22" s="429">
        <f t="shared" si="2"/>
        <v>97.199999999999989</v>
      </c>
      <c r="R22" s="429">
        <f t="shared" si="2"/>
        <v>194.39999999999998</v>
      </c>
      <c r="S22" s="429">
        <f t="shared" si="2"/>
        <v>194.39999999999998</v>
      </c>
      <c r="T22" s="429">
        <f t="shared" si="2"/>
        <v>194.39999999999998</v>
      </c>
      <c r="U22" s="429">
        <f t="shared" si="2"/>
        <v>194.39999999999998</v>
      </c>
      <c r="V22" s="429">
        <f t="shared" si="2"/>
        <v>194.39999999999998</v>
      </c>
      <c r="W22" s="429">
        <f t="shared" si="2"/>
        <v>170.1</v>
      </c>
      <c r="X22" s="429">
        <f t="shared" si="2"/>
        <v>97.199999999999989</v>
      </c>
      <c r="Y22" s="429">
        <f t="shared" si="2"/>
        <v>145.80000000000001</v>
      </c>
      <c r="Z22" s="429">
        <f t="shared" si="2"/>
        <v>145.80000000000001</v>
      </c>
      <c r="AA22" s="429">
        <f t="shared" si="2"/>
        <v>145.80000000000001</v>
      </c>
      <c r="AB22" s="430">
        <f t="shared" si="2"/>
        <v>145.80000000000001</v>
      </c>
      <c r="AC22" s="429">
        <f t="shared" si="2"/>
        <v>97.199999999999989</v>
      </c>
      <c r="AD22" s="90">
        <v>9</v>
      </c>
      <c r="AE22" s="90"/>
      <c r="AF22" s="93"/>
      <c r="AG22" s="431" t="s">
        <v>134</v>
      </c>
      <c r="AH22" s="432">
        <f>HLOOKUP($AH$20,$B$14:$AB$67,AD36,FALSE)</f>
        <v>5</v>
      </c>
      <c r="AI22" s="105"/>
      <c r="AJ22" s="87"/>
      <c r="AK22" s="87"/>
    </row>
    <row r="23" spans="1:37" s="11" customFormat="1" ht="12" x14ac:dyDescent="0.2">
      <c r="A23" s="427" t="s">
        <v>135</v>
      </c>
      <c r="B23" s="433">
        <f>$B$9</f>
        <v>9</v>
      </c>
      <c r="C23" s="433">
        <f t="shared" ref="C23:AC23" si="3">$B$9</f>
        <v>9</v>
      </c>
      <c r="D23" s="433">
        <f t="shared" si="3"/>
        <v>9</v>
      </c>
      <c r="E23" s="433">
        <f t="shared" si="3"/>
        <v>9</v>
      </c>
      <c r="F23" s="433">
        <f t="shared" si="3"/>
        <v>9</v>
      </c>
      <c r="G23" s="433">
        <f t="shared" si="3"/>
        <v>9</v>
      </c>
      <c r="H23" s="433">
        <f t="shared" si="3"/>
        <v>9</v>
      </c>
      <c r="I23" s="433">
        <f t="shared" si="3"/>
        <v>9</v>
      </c>
      <c r="J23" s="433">
        <f t="shared" si="3"/>
        <v>9</v>
      </c>
      <c r="K23" s="433">
        <f t="shared" si="3"/>
        <v>9</v>
      </c>
      <c r="L23" s="433">
        <f t="shared" si="3"/>
        <v>9</v>
      </c>
      <c r="M23" s="433">
        <f t="shared" si="3"/>
        <v>9</v>
      </c>
      <c r="N23" s="433">
        <f t="shared" si="3"/>
        <v>9</v>
      </c>
      <c r="O23" s="433">
        <f t="shared" si="3"/>
        <v>9</v>
      </c>
      <c r="P23" s="433">
        <f t="shared" si="3"/>
        <v>9</v>
      </c>
      <c r="Q23" s="433">
        <f t="shared" si="3"/>
        <v>9</v>
      </c>
      <c r="R23" s="433">
        <f t="shared" si="3"/>
        <v>9</v>
      </c>
      <c r="S23" s="433">
        <f t="shared" si="3"/>
        <v>9</v>
      </c>
      <c r="T23" s="433">
        <f t="shared" si="3"/>
        <v>9</v>
      </c>
      <c r="U23" s="433">
        <f t="shared" si="3"/>
        <v>9</v>
      </c>
      <c r="V23" s="433">
        <f t="shared" si="3"/>
        <v>9</v>
      </c>
      <c r="W23" s="433">
        <f t="shared" si="3"/>
        <v>9</v>
      </c>
      <c r="X23" s="433">
        <f t="shared" si="3"/>
        <v>9</v>
      </c>
      <c r="Y23" s="433">
        <f t="shared" si="3"/>
        <v>9</v>
      </c>
      <c r="Z23" s="433">
        <f t="shared" si="3"/>
        <v>9</v>
      </c>
      <c r="AA23" s="433">
        <f t="shared" si="3"/>
        <v>9</v>
      </c>
      <c r="AB23" s="434">
        <f t="shared" si="3"/>
        <v>9</v>
      </c>
      <c r="AC23" s="433">
        <f t="shared" si="3"/>
        <v>9</v>
      </c>
      <c r="AD23" s="92">
        <v>10</v>
      </c>
      <c r="AE23" s="92"/>
      <c r="AF23" s="93"/>
      <c r="AG23" s="431" t="s">
        <v>136</v>
      </c>
      <c r="AH23" s="432">
        <f>IF(HLOOKUP($AH$20,$B$14:$AB$67,AD50,FALSE)/HLOOKUP($AH$20,$B$14:$AB$67,AD35,FALSE)&lt;3,ROUND(HLOOKUP($AH$20,$B$14:$AB$67,AD50,FALSE)/HLOOKUP($AH$20,$B$14:$AB$67,AD35,FALSE),0),3)</f>
        <v>0</v>
      </c>
      <c r="AI23" s="96"/>
      <c r="AJ23" s="87"/>
      <c r="AK23" s="87"/>
    </row>
    <row r="24" spans="1:37" s="11" customFormat="1" ht="12" x14ac:dyDescent="0.2">
      <c r="A24" s="427" t="s">
        <v>137</v>
      </c>
      <c r="B24" s="433">
        <f t="shared" ref="B24:AC24" si="4">IF(ISBLANK(B120),0,$B$10)</f>
        <v>0</v>
      </c>
      <c r="C24" s="433">
        <f t="shared" si="4"/>
        <v>0</v>
      </c>
      <c r="D24" s="433">
        <f t="shared" si="4"/>
        <v>0</v>
      </c>
      <c r="E24" s="433">
        <f t="shared" si="4"/>
        <v>0</v>
      </c>
      <c r="F24" s="433">
        <f t="shared" si="4"/>
        <v>0</v>
      </c>
      <c r="G24" s="433">
        <f t="shared" si="4"/>
        <v>0</v>
      </c>
      <c r="H24" s="433">
        <f t="shared" si="4"/>
        <v>0</v>
      </c>
      <c r="I24" s="433">
        <f t="shared" si="4"/>
        <v>0</v>
      </c>
      <c r="J24" s="433">
        <f t="shared" si="4"/>
        <v>24.3</v>
      </c>
      <c r="K24" s="433">
        <f t="shared" si="4"/>
        <v>0</v>
      </c>
      <c r="L24" s="433">
        <f t="shared" si="4"/>
        <v>24.3</v>
      </c>
      <c r="M24" s="433">
        <f t="shared" si="4"/>
        <v>24.3</v>
      </c>
      <c r="N24" s="433">
        <f t="shared" si="4"/>
        <v>0</v>
      </c>
      <c r="O24" s="433">
        <f t="shared" si="4"/>
        <v>0</v>
      </c>
      <c r="P24" s="433">
        <f t="shared" si="4"/>
        <v>24.3</v>
      </c>
      <c r="Q24" s="433">
        <f t="shared" si="4"/>
        <v>0</v>
      </c>
      <c r="R24" s="433">
        <f t="shared" si="4"/>
        <v>24.3</v>
      </c>
      <c r="S24" s="433">
        <f t="shared" si="4"/>
        <v>24.3</v>
      </c>
      <c r="T24" s="433">
        <f t="shared" si="4"/>
        <v>24.3</v>
      </c>
      <c r="U24" s="433">
        <f t="shared" si="4"/>
        <v>24.3</v>
      </c>
      <c r="V24" s="433">
        <f t="shared" si="4"/>
        <v>24.3</v>
      </c>
      <c r="W24" s="433">
        <f t="shared" si="4"/>
        <v>24.3</v>
      </c>
      <c r="X24" s="433">
        <f t="shared" si="4"/>
        <v>0</v>
      </c>
      <c r="Y24" s="433">
        <f t="shared" si="4"/>
        <v>0</v>
      </c>
      <c r="Z24" s="433">
        <f t="shared" si="4"/>
        <v>0</v>
      </c>
      <c r="AA24" s="433">
        <f t="shared" si="4"/>
        <v>0</v>
      </c>
      <c r="AB24" s="434">
        <f t="shared" si="4"/>
        <v>0</v>
      </c>
      <c r="AC24" s="433">
        <f t="shared" si="4"/>
        <v>0</v>
      </c>
      <c r="AD24" s="90">
        <v>11</v>
      </c>
      <c r="AE24" s="90"/>
      <c r="AF24" s="93"/>
      <c r="AG24" s="99" t="s">
        <v>138</v>
      </c>
      <c r="AI24" s="34"/>
      <c r="AJ24" s="87"/>
      <c r="AK24" s="87"/>
    </row>
    <row r="25" spans="1:37" s="11" customFormat="1" ht="12" x14ac:dyDescent="0.2">
      <c r="A25" s="427" t="s">
        <v>139</v>
      </c>
      <c r="B25" s="429">
        <f>B21*$B$5+SUM(B23:B24)</f>
        <v>130.5</v>
      </c>
      <c r="C25" s="429">
        <f t="shared" ref="C25:AB25" si="5">C21*$B$5+SUM(C23:C24)</f>
        <v>130.5</v>
      </c>
      <c r="D25" s="429">
        <f t="shared" si="5"/>
        <v>130.5</v>
      </c>
      <c r="E25" s="429">
        <f t="shared" si="5"/>
        <v>130.5</v>
      </c>
      <c r="F25" s="429">
        <f t="shared" si="5"/>
        <v>130.5</v>
      </c>
      <c r="G25" s="429">
        <f t="shared" si="5"/>
        <v>130.5</v>
      </c>
      <c r="H25" s="429">
        <f t="shared" si="5"/>
        <v>142.65</v>
      </c>
      <c r="I25" s="429">
        <f t="shared" si="5"/>
        <v>154.80000000000001</v>
      </c>
      <c r="J25" s="429">
        <f t="shared" si="5"/>
        <v>191.25</v>
      </c>
      <c r="K25" s="429">
        <f t="shared" si="5"/>
        <v>179.1</v>
      </c>
      <c r="L25" s="429">
        <f t="shared" si="5"/>
        <v>203.39999999999998</v>
      </c>
      <c r="M25" s="429">
        <f t="shared" si="5"/>
        <v>203.39999999999998</v>
      </c>
      <c r="N25" s="429">
        <f t="shared" si="5"/>
        <v>179.1</v>
      </c>
      <c r="O25" s="429">
        <f t="shared" si="5"/>
        <v>179.1</v>
      </c>
      <c r="P25" s="429">
        <f t="shared" si="5"/>
        <v>203.39999999999998</v>
      </c>
      <c r="Q25" s="429">
        <f t="shared" si="5"/>
        <v>106.19999999999999</v>
      </c>
      <c r="R25" s="429">
        <f t="shared" si="5"/>
        <v>227.7</v>
      </c>
      <c r="S25" s="429">
        <f t="shared" si="5"/>
        <v>227.7</v>
      </c>
      <c r="T25" s="429">
        <f t="shared" si="5"/>
        <v>227.7</v>
      </c>
      <c r="U25" s="429">
        <f t="shared" si="5"/>
        <v>227.7</v>
      </c>
      <c r="V25" s="429">
        <f t="shared" si="5"/>
        <v>227.7</v>
      </c>
      <c r="W25" s="429">
        <f t="shared" si="5"/>
        <v>203.39999999999998</v>
      </c>
      <c r="X25" s="429">
        <f t="shared" si="5"/>
        <v>106.19999999999999</v>
      </c>
      <c r="Y25" s="429">
        <f t="shared" si="5"/>
        <v>154.80000000000001</v>
      </c>
      <c r="Z25" s="429">
        <f t="shared" si="5"/>
        <v>154.80000000000001</v>
      </c>
      <c r="AA25" s="429">
        <f t="shared" si="5"/>
        <v>154.80000000000001</v>
      </c>
      <c r="AB25" s="430">
        <f t="shared" si="5"/>
        <v>154.80000000000001</v>
      </c>
      <c r="AC25" s="429">
        <f t="shared" ref="AC25" si="6">AC21*$B$5+SUM(AC23:AC24)</f>
        <v>106.19999999999999</v>
      </c>
      <c r="AD25" s="92">
        <v>12</v>
      </c>
      <c r="AE25" s="92"/>
      <c r="AF25" s="93"/>
      <c r="AG25" s="87" t="s">
        <v>140</v>
      </c>
      <c r="AH25" s="106"/>
      <c r="AI25" s="34"/>
      <c r="AJ25" s="87"/>
      <c r="AK25" s="87"/>
    </row>
    <row r="26" spans="1:37" s="11" customFormat="1" ht="12" x14ac:dyDescent="0.2">
      <c r="A26" s="12" t="s">
        <v>141</v>
      </c>
      <c r="B26" s="13">
        <f t="shared" ref="B26:AB26" si="7">-IF(ISBLANK(B119),0,MIN(B$22*$H$10,B$22-$B$7*$H$9))</f>
        <v>-24.299999999999997</v>
      </c>
      <c r="C26" s="13">
        <f t="shared" si="7"/>
        <v>-24.299999999999997</v>
      </c>
      <c r="D26" s="13">
        <f t="shared" si="7"/>
        <v>-24.299999999999997</v>
      </c>
      <c r="E26" s="13">
        <f t="shared" si="7"/>
        <v>0</v>
      </c>
      <c r="F26" s="13">
        <f t="shared" si="7"/>
        <v>-24.299999999999997</v>
      </c>
      <c r="G26" s="13">
        <f t="shared" si="7"/>
        <v>-24.299999999999997</v>
      </c>
      <c r="H26" s="13">
        <f t="shared" si="7"/>
        <v>-36.450000000000003</v>
      </c>
      <c r="I26" s="13">
        <f t="shared" si="7"/>
        <v>-41.698799999999999</v>
      </c>
      <c r="J26" s="13">
        <f t="shared" si="7"/>
        <v>0</v>
      </c>
      <c r="K26" s="13">
        <f t="shared" si="7"/>
        <v>0</v>
      </c>
      <c r="L26" s="13">
        <f t="shared" si="7"/>
        <v>0</v>
      </c>
      <c r="M26" s="13">
        <f t="shared" si="7"/>
        <v>0</v>
      </c>
      <c r="N26" s="13">
        <f t="shared" si="7"/>
        <v>-48.648599999999995</v>
      </c>
      <c r="O26" s="13">
        <f t="shared" si="7"/>
        <v>-48.648599999999995</v>
      </c>
      <c r="P26" s="13">
        <f t="shared" si="7"/>
        <v>0</v>
      </c>
      <c r="Q26" s="13">
        <f t="shared" si="7"/>
        <v>0</v>
      </c>
      <c r="R26" s="13">
        <f t="shared" si="7"/>
        <v>0</v>
      </c>
      <c r="S26" s="13">
        <f t="shared" si="7"/>
        <v>0</v>
      </c>
      <c r="T26" s="13">
        <f t="shared" si="7"/>
        <v>0</v>
      </c>
      <c r="U26" s="13">
        <f t="shared" si="7"/>
        <v>0</v>
      </c>
      <c r="V26" s="13">
        <f t="shared" si="7"/>
        <v>0</v>
      </c>
      <c r="W26" s="13">
        <f t="shared" si="7"/>
        <v>0</v>
      </c>
      <c r="X26" s="13">
        <f t="shared" si="7"/>
        <v>0</v>
      </c>
      <c r="Y26" s="13">
        <f t="shared" si="7"/>
        <v>-41.698799999999999</v>
      </c>
      <c r="Z26" s="13">
        <f t="shared" si="7"/>
        <v>-41.698799999999999</v>
      </c>
      <c r="AA26" s="13">
        <f t="shared" si="7"/>
        <v>-41.698799999999999</v>
      </c>
      <c r="AB26" s="81">
        <f t="shared" si="7"/>
        <v>-41.698799999999999</v>
      </c>
      <c r="AC26" s="13">
        <f>-IF(ISBLANK(AC119),0,ROUND(MIN(AC$22*$H$10,AC$22-$B$7*$H$9),1))</f>
        <v>0</v>
      </c>
      <c r="AD26" s="90">
        <v>13</v>
      </c>
      <c r="AE26" s="90"/>
      <c r="AF26" s="93"/>
      <c r="AG26" s="87" t="s">
        <v>142</v>
      </c>
      <c r="AH26" s="106"/>
      <c r="AI26" s="34"/>
      <c r="AJ26" s="87"/>
      <c r="AK26" s="87"/>
    </row>
    <row r="27" spans="1:37" ht="12" x14ac:dyDescent="0.2">
      <c r="A27" s="427" t="s">
        <v>143</v>
      </c>
      <c r="B27" s="13">
        <f t="shared" ref="B27:AB27" si="8">SUM(B25:B26)</f>
        <v>106.2</v>
      </c>
      <c r="C27" s="13">
        <f t="shared" si="8"/>
        <v>106.2</v>
      </c>
      <c r="D27" s="13">
        <f t="shared" si="8"/>
        <v>106.2</v>
      </c>
      <c r="E27" s="13">
        <f t="shared" si="8"/>
        <v>130.5</v>
      </c>
      <c r="F27" s="13">
        <f t="shared" si="8"/>
        <v>106.2</v>
      </c>
      <c r="G27" s="13">
        <f t="shared" si="8"/>
        <v>106.2</v>
      </c>
      <c r="H27" s="13">
        <f t="shared" si="8"/>
        <v>106.2</v>
      </c>
      <c r="I27" s="13">
        <f t="shared" si="8"/>
        <v>113.10120000000001</v>
      </c>
      <c r="J27" s="13">
        <f t="shared" si="8"/>
        <v>191.25</v>
      </c>
      <c r="K27" s="13">
        <f t="shared" si="8"/>
        <v>179.1</v>
      </c>
      <c r="L27" s="13">
        <f t="shared" si="8"/>
        <v>203.39999999999998</v>
      </c>
      <c r="M27" s="13">
        <f t="shared" si="8"/>
        <v>203.39999999999998</v>
      </c>
      <c r="N27" s="13">
        <f t="shared" si="8"/>
        <v>130.45140000000001</v>
      </c>
      <c r="O27" s="13">
        <f t="shared" si="8"/>
        <v>130.45140000000001</v>
      </c>
      <c r="P27" s="13">
        <f t="shared" si="8"/>
        <v>203.39999999999998</v>
      </c>
      <c r="Q27" s="13">
        <f t="shared" si="8"/>
        <v>106.19999999999999</v>
      </c>
      <c r="R27" s="13">
        <f t="shared" si="8"/>
        <v>227.7</v>
      </c>
      <c r="S27" s="13">
        <f t="shared" si="8"/>
        <v>227.7</v>
      </c>
      <c r="T27" s="13">
        <f t="shared" si="8"/>
        <v>227.7</v>
      </c>
      <c r="U27" s="13">
        <f t="shared" si="8"/>
        <v>227.7</v>
      </c>
      <c r="V27" s="13">
        <f t="shared" si="8"/>
        <v>227.7</v>
      </c>
      <c r="W27" s="13">
        <f t="shared" si="8"/>
        <v>203.39999999999998</v>
      </c>
      <c r="X27" s="13">
        <f t="shared" si="8"/>
        <v>106.19999999999999</v>
      </c>
      <c r="Y27" s="13">
        <f t="shared" si="8"/>
        <v>113.10120000000001</v>
      </c>
      <c r="Z27" s="13">
        <f t="shared" si="8"/>
        <v>113.10120000000001</v>
      </c>
      <c r="AA27" s="13">
        <f t="shared" si="8"/>
        <v>113.10120000000001</v>
      </c>
      <c r="AB27" s="81">
        <f t="shared" si="8"/>
        <v>113.10120000000001</v>
      </c>
      <c r="AC27" s="13">
        <f t="shared" ref="AC27" si="9">SUM(AC25:AC26)</f>
        <v>106.19999999999999</v>
      </c>
      <c r="AD27" s="92">
        <v>14</v>
      </c>
      <c r="AE27" s="92"/>
      <c r="AF27" s="93"/>
      <c r="AG27" s="100"/>
      <c r="AH27" s="34"/>
      <c r="AI27" s="34"/>
      <c r="AJ27" s="87"/>
      <c r="AK27" s="87"/>
    </row>
    <row r="28" spans="1:37" s="11" customFormat="1" ht="12" x14ac:dyDescent="0.2">
      <c r="A28" s="12" t="s">
        <v>144</v>
      </c>
      <c r="B28" s="13">
        <f>AVERAGE(AA22:AB22,B22)</f>
        <v>137.70000000000002</v>
      </c>
      <c r="C28" s="13">
        <f>AVERAGE(AB22,B22:C22)</f>
        <v>129.6</v>
      </c>
      <c r="D28" s="13">
        <f t="shared" ref="D28:AC28" si="10">AVERAGE(B22:D22)</f>
        <v>121.5</v>
      </c>
      <c r="E28" s="13">
        <f t="shared" si="10"/>
        <v>121.5</v>
      </c>
      <c r="F28" s="13">
        <f t="shared" si="10"/>
        <v>121.5</v>
      </c>
      <c r="G28" s="13">
        <f t="shared" si="10"/>
        <v>121.5</v>
      </c>
      <c r="H28" s="13">
        <f t="shared" si="10"/>
        <v>125.55</v>
      </c>
      <c r="I28" s="13">
        <f t="shared" si="10"/>
        <v>133.65</v>
      </c>
      <c r="J28" s="13">
        <f t="shared" si="10"/>
        <v>145.80000000000001</v>
      </c>
      <c r="K28" s="13">
        <f t="shared" si="10"/>
        <v>157.95000000000002</v>
      </c>
      <c r="L28" s="13">
        <f t="shared" si="10"/>
        <v>166.04999999999998</v>
      </c>
      <c r="M28" s="13">
        <f t="shared" si="10"/>
        <v>170.1</v>
      </c>
      <c r="N28" s="13">
        <f t="shared" si="10"/>
        <v>170.1</v>
      </c>
      <c r="O28" s="13">
        <f t="shared" si="10"/>
        <v>170.1</v>
      </c>
      <c r="P28" s="13">
        <f t="shared" si="10"/>
        <v>170.1</v>
      </c>
      <c r="Q28" s="13">
        <f t="shared" si="10"/>
        <v>145.79999999999998</v>
      </c>
      <c r="R28" s="13">
        <f t="shared" si="10"/>
        <v>153.89999999999998</v>
      </c>
      <c r="S28" s="13">
        <f t="shared" si="10"/>
        <v>161.99999999999997</v>
      </c>
      <c r="T28" s="13">
        <f t="shared" si="10"/>
        <v>194.39999999999998</v>
      </c>
      <c r="U28" s="13">
        <f t="shared" si="10"/>
        <v>194.39999999999998</v>
      </c>
      <c r="V28" s="13">
        <f t="shared" si="10"/>
        <v>194.39999999999998</v>
      </c>
      <c r="W28" s="13">
        <f t="shared" si="10"/>
        <v>186.29999999999998</v>
      </c>
      <c r="X28" s="13">
        <f t="shared" si="10"/>
        <v>153.9</v>
      </c>
      <c r="Y28" s="13">
        <f t="shared" si="10"/>
        <v>137.69999999999999</v>
      </c>
      <c r="Z28" s="13">
        <f t="shared" si="10"/>
        <v>129.6</v>
      </c>
      <c r="AA28" s="13">
        <f t="shared" si="10"/>
        <v>145.80000000000001</v>
      </c>
      <c r="AB28" s="81">
        <f t="shared" si="10"/>
        <v>145.80000000000001</v>
      </c>
      <c r="AC28" s="13">
        <f t="shared" si="10"/>
        <v>129.6</v>
      </c>
      <c r="AD28" s="90">
        <v>15</v>
      </c>
      <c r="AE28" s="90"/>
      <c r="AF28" s="93"/>
      <c r="AG28" s="630" t="s">
        <v>145</v>
      </c>
      <c r="AH28" s="631"/>
      <c r="AI28" s="435" t="s">
        <v>146</v>
      </c>
      <c r="AJ28" s="87"/>
      <c r="AK28" s="87"/>
    </row>
    <row r="29" spans="1:37" s="11" customFormat="1" ht="12" x14ac:dyDescent="0.2">
      <c r="A29" s="151" t="s">
        <v>147</v>
      </c>
      <c r="B29" s="81"/>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51"/>
      <c r="AD29" s="92">
        <v>16</v>
      </c>
      <c r="AE29" s="92"/>
      <c r="AF29" s="107" t="s">
        <v>148</v>
      </c>
      <c r="AG29" s="436" t="s">
        <v>149</v>
      </c>
      <c r="AH29" s="437">
        <f>HLOOKUP($AH$20,$B$14:$AB$67,AD50,FALSE)</f>
        <v>0</v>
      </c>
      <c r="AI29" s="437"/>
      <c r="AJ29" s="87"/>
      <c r="AK29" s="87"/>
    </row>
    <row r="30" spans="1:37" s="11" customFormat="1" ht="12" x14ac:dyDescent="0.2">
      <c r="A30" s="12" t="s">
        <v>150</v>
      </c>
      <c r="B30" s="13">
        <f t="shared" ref="B30:AC30" si="11">IF(ISBLANK(B119),0,$B$11)</f>
        <v>1.8</v>
      </c>
      <c r="C30" s="13">
        <f t="shared" si="11"/>
        <v>1.8</v>
      </c>
      <c r="D30" s="13">
        <f t="shared" si="11"/>
        <v>1.8</v>
      </c>
      <c r="E30" s="13">
        <f t="shared" si="11"/>
        <v>0</v>
      </c>
      <c r="F30" s="13">
        <f t="shared" si="11"/>
        <v>1.8</v>
      </c>
      <c r="G30" s="13">
        <f t="shared" si="11"/>
        <v>1.8</v>
      </c>
      <c r="H30" s="13">
        <f t="shared" si="11"/>
        <v>1.8</v>
      </c>
      <c r="I30" s="13">
        <f t="shared" si="11"/>
        <v>1.8</v>
      </c>
      <c r="J30" s="13">
        <f t="shared" si="11"/>
        <v>0</v>
      </c>
      <c r="K30" s="13">
        <f t="shared" si="11"/>
        <v>0</v>
      </c>
      <c r="L30" s="13">
        <f t="shared" si="11"/>
        <v>0</v>
      </c>
      <c r="M30" s="13">
        <f t="shared" si="11"/>
        <v>0</v>
      </c>
      <c r="N30" s="13">
        <f t="shared" si="11"/>
        <v>1.8</v>
      </c>
      <c r="O30" s="13">
        <f t="shared" si="11"/>
        <v>1.8</v>
      </c>
      <c r="P30" s="13">
        <f t="shared" si="11"/>
        <v>0</v>
      </c>
      <c r="Q30" s="13">
        <f t="shared" si="11"/>
        <v>0</v>
      </c>
      <c r="R30" s="13">
        <f t="shared" si="11"/>
        <v>0</v>
      </c>
      <c r="S30" s="13">
        <f t="shared" si="11"/>
        <v>0</v>
      </c>
      <c r="T30" s="13">
        <f t="shared" si="11"/>
        <v>0</v>
      </c>
      <c r="U30" s="13">
        <f t="shared" si="11"/>
        <v>0</v>
      </c>
      <c r="V30" s="13">
        <f t="shared" si="11"/>
        <v>0</v>
      </c>
      <c r="W30" s="13">
        <f t="shared" si="11"/>
        <v>0</v>
      </c>
      <c r="X30" s="13">
        <f t="shared" si="11"/>
        <v>0</v>
      </c>
      <c r="Y30" s="13">
        <f t="shared" si="11"/>
        <v>1.8</v>
      </c>
      <c r="Z30" s="13">
        <f t="shared" si="11"/>
        <v>1.8</v>
      </c>
      <c r="AA30" s="13">
        <f t="shared" si="11"/>
        <v>1.8</v>
      </c>
      <c r="AB30" s="81">
        <f t="shared" si="11"/>
        <v>1.8</v>
      </c>
      <c r="AC30" s="429">
        <f t="shared" si="11"/>
        <v>1.8</v>
      </c>
      <c r="AD30" s="90">
        <v>17</v>
      </c>
      <c r="AE30" s="90"/>
      <c r="AF30" s="43"/>
      <c r="AG30" s="438">
        <v>5</v>
      </c>
      <c r="AH30" s="432">
        <f>IF(AH29-$AG30&lt;0,0,AH29-$AG30)</f>
        <v>0</v>
      </c>
      <c r="AI30" s="432">
        <f>IF(ISERROR(MAX(0,AH22-$AG30/AH23)),0,MAX(0,AH22-$AG30/AH23))</f>
        <v>0</v>
      </c>
      <c r="AJ30" s="87"/>
      <c r="AK30" s="87"/>
    </row>
    <row r="31" spans="1:37"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333"/>
      <c r="AC31" s="340"/>
      <c r="AD31" s="92">
        <v>18</v>
      </c>
      <c r="AE31" s="92"/>
      <c r="AF31" s="107" t="s">
        <v>152</v>
      </c>
      <c r="AG31" s="436"/>
      <c r="AH31" s="437">
        <f>HLOOKUP($AH$20,$B$14:$AB$67,AD52,FALSE)</f>
        <v>17</v>
      </c>
      <c r="AI31" s="437"/>
      <c r="AJ31" s="87"/>
      <c r="AK31" s="87"/>
    </row>
    <row r="32" spans="1:37" s="11" customFormat="1" thickBot="1" x14ac:dyDescent="0.25">
      <c r="A32" s="412" t="s">
        <v>153</v>
      </c>
      <c r="B32" s="425">
        <v>0.7</v>
      </c>
      <c r="C32" s="425">
        <v>0.7</v>
      </c>
      <c r="D32" s="425">
        <v>0.7</v>
      </c>
      <c r="E32" s="425">
        <v>0.7</v>
      </c>
      <c r="F32" s="425">
        <v>0.7</v>
      </c>
      <c r="G32" s="425">
        <v>0.7</v>
      </c>
      <c r="H32" s="425">
        <v>0.8</v>
      </c>
      <c r="I32" s="425">
        <v>0.8</v>
      </c>
      <c r="J32" s="425">
        <v>0.8</v>
      </c>
      <c r="K32" s="425">
        <v>0.9</v>
      </c>
      <c r="L32" s="425">
        <v>0.9</v>
      </c>
      <c r="M32" s="425">
        <v>0.9</v>
      </c>
      <c r="N32" s="425">
        <v>1</v>
      </c>
      <c r="O32" s="425">
        <v>1</v>
      </c>
      <c r="P32" s="425">
        <v>1</v>
      </c>
      <c r="Q32" s="425">
        <v>1</v>
      </c>
      <c r="R32" s="425">
        <v>1</v>
      </c>
      <c r="S32" s="425">
        <v>1</v>
      </c>
      <c r="T32" s="425">
        <v>1</v>
      </c>
      <c r="U32" s="425">
        <v>1</v>
      </c>
      <c r="V32" s="425">
        <v>1</v>
      </c>
      <c r="W32" s="425">
        <v>1</v>
      </c>
      <c r="X32" s="425">
        <v>1</v>
      </c>
      <c r="Y32" s="425">
        <v>1</v>
      </c>
      <c r="Z32" s="425">
        <v>1</v>
      </c>
      <c r="AA32" s="425">
        <v>1</v>
      </c>
      <c r="AB32" s="424">
        <v>1</v>
      </c>
      <c r="AC32" s="425">
        <v>0.7</v>
      </c>
      <c r="AD32" s="90">
        <v>19</v>
      </c>
      <c r="AE32" s="90"/>
      <c r="AF32" s="34"/>
      <c r="AG32" s="441">
        <v>5</v>
      </c>
      <c r="AH32" s="442">
        <f>IF(AH31-$AG32&lt;0,0,AH31-$AG32)</f>
        <v>12</v>
      </c>
      <c r="AI32" s="442">
        <f>IF(ISERROR(MAX(0,AH22-$AG32/AH23)),0,MAX(0,AH22-$AG32/AH23))</f>
        <v>0</v>
      </c>
      <c r="AJ32" s="87"/>
      <c r="AK32" s="87"/>
    </row>
    <row r="33" spans="1:37" s="11" customFormat="1" ht="12" x14ac:dyDescent="0.2">
      <c r="A33" s="412" t="s">
        <v>154</v>
      </c>
      <c r="B33" s="443">
        <f t="shared" ref="B33:AC33" si="12">B32*0.8</f>
        <v>0.55999999999999994</v>
      </c>
      <c r="C33" s="443">
        <f t="shared" si="12"/>
        <v>0.55999999999999994</v>
      </c>
      <c r="D33" s="443">
        <f t="shared" si="12"/>
        <v>0.55999999999999994</v>
      </c>
      <c r="E33" s="443">
        <f t="shared" si="12"/>
        <v>0.55999999999999994</v>
      </c>
      <c r="F33" s="443">
        <f t="shared" si="12"/>
        <v>0.55999999999999994</v>
      </c>
      <c r="G33" s="443">
        <f t="shared" si="12"/>
        <v>0.55999999999999994</v>
      </c>
      <c r="H33" s="443">
        <f t="shared" si="12"/>
        <v>0.64000000000000012</v>
      </c>
      <c r="I33" s="443">
        <f t="shared" si="12"/>
        <v>0.64000000000000012</v>
      </c>
      <c r="J33" s="443">
        <f t="shared" si="12"/>
        <v>0.64000000000000012</v>
      </c>
      <c r="K33" s="443">
        <f t="shared" si="12"/>
        <v>0.72000000000000008</v>
      </c>
      <c r="L33" s="443">
        <f t="shared" si="12"/>
        <v>0.72000000000000008</v>
      </c>
      <c r="M33" s="443">
        <f t="shared" si="12"/>
        <v>0.72000000000000008</v>
      </c>
      <c r="N33" s="443">
        <f t="shared" si="12"/>
        <v>0.8</v>
      </c>
      <c r="O33" s="443">
        <f t="shared" si="12"/>
        <v>0.8</v>
      </c>
      <c r="P33" s="443">
        <f t="shared" si="12"/>
        <v>0.8</v>
      </c>
      <c r="Q33" s="443">
        <f t="shared" si="12"/>
        <v>0.8</v>
      </c>
      <c r="R33" s="443">
        <f t="shared" si="12"/>
        <v>0.8</v>
      </c>
      <c r="S33" s="443">
        <f t="shared" si="12"/>
        <v>0.8</v>
      </c>
      <c r="T33" s="443">
        <f t="shared" si="12"/>
        <v>0.8</v>
      </c>
      <c r="U33" s="443">
        <f t="shared" si="12"/>
        <v>0.8</v>
      </c>
      <c r="V33" s="443">
        <f t="shared" si="12"/>
        <v>0.8</v>
      </c>
      <c r="W33" s="443">
        <f t="shared" si="12"/>
        <v>0.8</v>
      </c>
      <c r="X33" s="443">
        <f t="shared" si="12"/>
        <v>0.8</v>
      </c>
      <c r="Y33" s="443">
        <f t="shared" si="12"/>
        <v>0.8</v>
      </c>
      <c r="Z33" s="443">
        <f t="shared" si="12"/>
        <v>0.8</v>
      </c>
      <c r="AA33" s="443">
        <f t="shared" si="12"/>
        <v>0.8</v>
      </c>
      <c r="AB33" s="444">
        <f t="shared" si="12"/>
        <v>0.8</v>
      </c>
      <c r="AC33" s="443">
        <f t="shared" si="12"/>
        <v>0.55999999999999994</v>
      </c>
      <c r="AD33" s="92">
        <v>20</v>
      </c>
      <c r="AE33" s="92"/>
      <c r="AF33" s="34"/>
      <c r="AG33" s="108" t="s">
        <v>155</v>
      </c>
      <c r="AH33" s="108" t="s">
        <v>156</v>
      </c>
      <c r="AI33" s="108" t="s">
        <v>157</v>
      </c>
      <c r="AJ33" s="87"/>
      <c r="AK33" s="87"/>
    </row>
    <row r="34" spans="1:37" s="11" customFormat="1" ht="12" x14ac:dyDescent="0.2">
      <c r="A34" s="445" t="s">
        <v>158</v>
      </c>
      <c r="B34" s="446">
        <f>((B36*$B$171)/$B$2)</f>
        <v>0.49191974432637614</v>
      </c>
      <c r="C34" s="446">
        <f t="shared" ref="C34:AC34" si="13">((C36*$B$171)/$B$2)</f>
        <v>0.49191974432637614</v>
      </c>
      <c r="D34" s="446">
        <f t="shared" si="13"/>
        <v>0.49191974432637614</v>
      </c>
      <c r="E34" s="446">
        <f t="shared" si="13"/>
        <v>0.49191974432637614</v>
      </c>
      <c r="F34" s="446">
        <f t="shared" si="13"/>
        <v>0.49191974432637614</v>
      </c>
      <c r="G34" s="446">
        <f t="shared" si="13"/>
        <v>0.49191974432637614</v>
      </c>
      <c r="H34" s="446">
        <f t="shared" si="13"/>
        <v>0.56219399351585841</v>
      </c>
      <c r="I34" s="446">
        <f t="shared" si="13"/>
        <v>0.56219399351585841</v>
      </c>
      <c r="J34" s="446">
        <f t="shared" si="13"/>
        <v>0.56219399351585841</v>
      </c>
      <c r="K34" s="446">
        <f t="shared" si="13"/>
        <v>0.63246824270534074</v>
      </c>
      <c r="L34" s="446">
        <f t="shared" si="13"/>
        <v>0.63246824270534074</v>
      </c>
      <c r="M34" s="446">
        <f t="shared" si="13"/>
        <v>0.63246824270534074</v>
      </c>
      <c r="N34" s="446">
        <f t="shared" si="13"/>
        <v>0.70274249189482307</v>
      </c>
      <c r="O34" s="446">
        <f t="shared" si="13"/>
        <v>0.70274249189482307</v>
      </c>
      <c r="P34" s="446">
        <f t="shared" si="13"/>
        <v>0.70274249189482307</v>
      </c>
      <c r="Q34" s="446">
        <f t="shared" si="13"/>
        <v>0.70274249189482307</v>
      </c>
      <c r="R34" s="446">
        <f t="shared" si="13"/>
        <v>0.70274249189482307</v>
      </c>
      <c r="S34" s="446">
        <f t="shared" si="13"/>
        <v>0.70274249189482307</v>
      </c>
      <c r="T34" s="446">
        <f t="shared" si="13"/>
        <v>0.70274249189482307</v>
      </c>
      <c r="U34" s="446">
        <f t="shared" si="13"/>
        <v>0.70274249189482307</v>
      </c>
      <c r="V34" s="446">
        <f t="shared" si="13"/>
        <v>0.70274249189482307</v>
      </c>
      <c r="W34" s="446">
        <f t="shared" si="13"/>
        <v>0.70274249189482307</v>
      </c>
      <c r="X34" s="446">
        <f t="shared" si="13"/>
        <v>0.70274249189482307</v>
      </c>
      <c r="Y34" s="446">
        <f t="shared" si="13"/>
        <v>0.70274249189482307</v>
      </c>
      <c r="Z34" s="446">
        <f t="shared" si="13"/>
        <v>0.70274249189482307</v>
      </c>
      <c r="AA34" s="446">
        <f t="shared" si="13"/>
        <v>0.70274249189482307</v>
      </c>
      <c r="AB34" s="446">
        <f t="shared" si="13"/>
        <v>0.70274249189482307</v>
      </c>
      <c r="AC34" s="446">
        <f t="shared" si="13"/>
        <v>0.49191974432637614</v>
      </c>
      <c r="AD34" s="92"/>
      <c r="AE34" s="92"/>
      <c r="AF34" s="43" t="s">
        <v>159</v>
      </c>
      <c r="AG34" s="447">
        <f>SUM(AG30,AG32)</f>
        <v>10</v>
      </c>
      <c r="AH34" s="447">
        <f>SUM(AH29,AH31)</f>
        <v>17</v>
      </c>
      <c r="AI34" s="447">
        <f>MAX(AI29:AI32)</f>
        <v>0</v>
      </c>
      <c r="AJ34" s="87"/>
      <c r="AK34" s="87"/>
    </row>
    <row r="35" spans="1:37" s="11" customFormat="1" ht="12" x14ac:dyDescent="0.2">
      <c r="A35" s="427" t="s">
        <v>160</v>
      </c>
      <c r="B35" s="448">
        <f t="shared" ref="B35:AC35" si="14">ROUND($B$2*B$32,2)</f>
        <v>3.5</v>
      </c>
      <c r="C35" s="448">
        <f t="shared" si="14"/>
        <v>3.5</v>
      </c>
      <c r="D35" s="448">
        <f t="shared" si="14"/>
        <v>3.5</v>
      </c>
      <c r="E35" s="448">
        <f t="shared" si="14"/>
        <v>3.5</v>
      </c>
      <c r="F35" s="448">
        <f t="shared" si="14"/>
        <v>3.5</v>
      </c>
      <c r="G35" s="448">
        <f t="shared" si="14"/>
        <v>3.5</v>
      </c>
      <c r="H35" s="448">
        <f t="shared" si="14"/>
        <v>4</v>
      </c>
      <c r="I35" s="448">
        <f t="shared" si="14"/>
        <v>4</v>
      </c>
      <c r="J35" s="448">
        <f t="shared" si="14"/>
        <v>4</v>
      </c>
      <c r="K35" s="448">
        <f t="shared" si="14"/>
        <v>4.5</v>
      </c>
      <c r="L35" s="448">
        <f t="shared" si="14"/>
        <v>4.5</v>
      </c>
      <c r="M35" s="448">
        <f t="shared" si="14"/>
        <v>4.5</v>
      </c>
      <c r="N35" s="448">
        <f t="shared" si="14"/>
        <v>5</v>
      </c>
      <c r="O35" s="448">
        <f t="shared" si="14"/>
        <v>5</v>
      </c>
      <c r="P35" s="448">
        <f t="shared" si="14"/>
        <v>5</v>
      </c>
      <c r="Q35" s="448">
        <f t="shared" si="14"/>
        <v>5</v>
      </c>
      <c r="R35" s="448">
        <f t="shared" si="14"/>
        <v>5</v>
      </c>
      <c r="S35" s="448">
        <f t="shared" si="14"/>
        <v>5</v>
      </c>
      <c r="T35" s="448">
        <f t="shared" si="14"/>
        <v>5</v>
      </c>
      <c r="U35" s="448">
        <f t="shared" si="14"/>
        <v>5</v>
      </c>
      <c r="V35" s="448">
        <f t="shared" si="14"/>
        <v>5</v>
      </c>
      <c r="W35" s="448">
        <f t="shared" si="14"/>
        <v>5</v>
      </c>
      <c r="X35" s="448">
        <f t="shared" si="14"/>
        <v>5</v>
      </c>
      <c r="Y35" s="448">
        <f t="shared" si="14"/>
        <v>5</v>
      </c>
      <c r="Z35" s="448">
        <f t="shared" si="14"/>
        <v>5</v>
      </c>
      <c r="AA35" s="448">
        <f t="shared" si="14"/>
        <v>5</v>
      </c>
      <c r="AB35" s="449">
        <f t="shared" si="14"/>
        <v>5</v>
      </c>
      <c r="AC35" s="448">
        <f t="shared" si="14"/>
        <v>3.5</v>
      </c>
      <c r="AD35" s="90">
        <v>21</v>
      </c>
      <c r="AE35" s="90"/>
      <c r="AG35" s="34"/>
      <c r="AH35" s="34"/>
      <c r="AI35" s="34"/>
      <c r="AK35" s="87"/>
    </row>
    <row r="36" spans="1:37" ht="12" x14ac:dyDescent="0.2">
      <c r="A36" s="427" t="s">
        <v>134</v>
      </c>
      <c r="B36" s="448">
        <f t="shared" ref="B36:AC36" si="15">ROUND($B$2*B$33,2)</f>
        <v>2.8</v>
      </c>
      <c r="C36" s="448">
        <f t="shared" si="15"/>
        <v>2.8</v>
      </c>
      <c r="D36" s="448">
        <f t="shared" si="15"/>
        <v>2.8</v>
      </c>
      <c r="E36" s="448">
        <f t="shared" si="15"/>
        <v>2.8</v>
      </c>
      <c r="F36" s="448">
        <f t="shared" si="15"/>
        <v>2.8</v>
      </c>
      <c r="G36" s="448">
        <f t="shared" si="15"/>
        <v>2.8</v>
      </c>
      <c r="H36" s="448">
        <f t="shared" si="15"/>
        <v>3.2</v>
      </c>
      <c r="I36" s="448">
        <f t="shared" si="15"/>
        <v>3.2</v>
      </c>
      <c r="J36" s="448">
        <f t="shared" si="15"/>
        <v>3.2</v>
      </c>
      <c r="K36" s="448">
        <f t="shared" si="15"/>
        <v>3.6</v>
      </c>
      <c r="L36" s="448">
        <f t="shared" si="15"/>
        <v>3.6</v>
      </c>
      <c r="M36" s="448">
        <f t="shared" si="15"/>
        <v>3.6</v>
      </c>
      <c r="N36" s="448">
        <f t="shared" si="15"/>
        <v>4</v>
      </c>
      <c r="O36" s="448">
        <f t="shared" si="15"/>
        <v>4</v>
      </c>
      <c r="P36" s="448">
        <f t="shared" si="15"/>
        <v>4</v>
      </c>
      <c r="Q36" s="448">
        <f t="shared" si="15"/>
        <v>4</v>
      </c>
      <c r="R36" s="448">
        <f t="shared" si="15"/>
        <v>4</v>
      </c>
      <c r="S36" s="448">
        <f t="shared" si="15"/>
        <v>4</v>
      </c>
      <c r="T36" s="448">
        <f t="shared" si="15"/>
        <v>4</v>
      </c>
      <c r="U36" s="448">
        <f t="shared" si="15"/>
        <v>4</v>
      </c>
      <c r="V36" s="448">
        <f t="shared" si="15"/>
        <v>4</v>
      </c>
      <c r="W36" s="448">
        <f t="shared" si="15"/>
        <v>4</v>
      </c>
      <c r="X36" s="448">
        <f t="shared" si="15"/>
        <v>4</v>
      </c>
      <c r="Y36" s="448">
        <f t="shared" si="15"/>
        <v>4</v>
      </c>
      <c r="Z36" s="448">
        <f t="shared" si="15"/>
        <v>4</v>
      </c>
      <c r="AA36" s="448">
        <f t="shared" si="15"/>
        <v>4</v>
      </c>
      <c r="AB36" s="449">
        <f t="shared" si="15"/>
        <v>4</v>
      </c>
      <c r="AC36" s="448">
        <f t="shared" si="15"/>
        <v>2.8</v>
      </c>
      <c r="AD36" s="92">
        <v>22</v>
      </c>
      <c r="AE36" s="92"/>
      <c r="AF36" s="11"/>
      <c r="AG36" s="106" t="s">
        <v>161</v>
      </c>
      <c r="AH36" s="34"/>
      <c r="AI36" s="34"/>
      <c r="AJ36" s="11"/>
      <c r="AK36" s="87"/>
    </row>
    <row r="37" spans="1:37" ht="12" x14ac:dyDescent="0.2">
      <c r="A37" s="450" t="s">
        <v>162</v>
      </c>
      <c r="B37" s="451">
        <f>B34*$B$2</f>
        <v>2.4595987216318806</v>
      </c>
      <c r="C37" s="451">
        <f t="shared" ref="C37:AC37" si="16">C34*$B$2</f>
        <v>2.4595987216318806</v>
      </c>
      <c r="D37" s="451">
        <f t="shared" si="16"/>
        <v>2.4595987216318806</v>
      </c>
      <c r="E37" s="451">
        <f t="shared" si="16"/>
        <v>2.4595987216318806</v>
      </c>
      <c r="F37" s="451">
        <f t="shared" si="16"/>
        <v>2.4595987216318806</v>
      </c>
      <c r="G37" s="451">
        <f t="shared" si="16"/>
        <v>2.4595987216318806</v>
      </c>
      <c r="H37" s="451">
        <f t="shared" si="16"/>
        <v>2.8109699675792923</v>
      </c>
      <c r="I37" s="451">
        <f t="shared" si="16"/>
        <v>2.8109699675792923</v>
      </c>
      <c r="J37" s="451">
        <f t="shared" si="16"/>
        <v>2.8109699675792923</v>
      </c>
      <c r="K37" s="451">
        <f t="shared" si="16"/>
        <v>3.1623412135267035</v>
      </c>
      <c r="L37" s="451">
        <f t="shared" si="16"/>
        <v>3.1623412135267035</v>
      </c>
      <c r="M37" s="451">
        <f t="shared" si="16"/>
        <v>3.1623412135267035</v>
      </c>
      <c r="N37" s="451">
        <f t="shared" si="16"/>
        <v>3.5137124594741156</v>
      </c>
      <c r="O37" s="451">
        <f t="shared" si="16"/>
        <v>3.5137124594741156</v>
      </c>
      <c r="P37" s="451">
        <f t="shared" si="16"/>
        <v>3.5137124594741156</v>
      </c>
      <c r="Q37" s="451">
        <f t="shared" si="16"/>
        <v>3.5137124594741156</v>
      </c>
      <c r="R37" s="451">
        <f t="shared" si="16"/>
        <v>3.5137124594741156</v>
      </c>
      <c r="S37" s="451">
        <f t="shared" si="16"/>
        <v>3.5137124594741156</v>
      </c>
      <c r="T37" s="451">
        <f t="shared" si="16"/>
        <v>3.5137124594741156</v>
      </c>
      <c r="U37" s="451">
        <f t="shared" si="16"/>
        <v>3.5137124594741156</v>
      </c>
      <c r="V37" s="451">
        <f t="shared" si="16"/>
        <v>3.5137124594741156</v>
      </c>
      <c r="W37" s="451">
        <f t="shared" si="16"/>
        <v>3.5137124594741156</v>
      </c>
      <c r="X37" s="451">
        <f t="shared" si="16"/>
        <v>3.5137124594741156</v>
      </c>
      <c r="Y37" s="451">
        <f t="shared" si="16"/>
        <v>3.5137124594741156</v>
      </c>
      <c r="Z37" s="451">
        <f t="shared" si="16"/>
        <v>3.5137124594741156</v>
      </c>
      <c r="AA37" s="451">
        <f t="shared" si="16"/>
        <v>3.5137124594741156</v>
      </c>
      <c r="AB37" s="451">
        <f t="shared" si="16"/>
        <v>3.5137124594741156</v>
      </c>
      <c r="AC37" s="451">
        <f t="shared" si="16"/>
        <v>2.4595987216318806</v>
      </c>
      <c r="AD37" s="92"/>
      <c r="AE37" s="92"/>
      <c r="AG37" s="34"/>
      <c r="AH37" s="34"/>
      <c r="AI37" s="34"/>
      <c r="AJ37" s="87"/>
      <c r="AK37" s="87"/>
    </row>
    <row r="38" spans="1:37" ht="12" x14ac:dyDescent="0.2">
      <c r="A38" s="452"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454"/>
      <c r="AD38" s="90">
        <v>23</v>
      </c>
      <c r="AE38" s="90"/>
      <c r="AG38" s="630" t="s">
        <v>164</v>
      </c>
      <c r="AH38" s="631"/>
      <c r="AI38" s="435" t="s">
        <v>146</v>
      </c>
      <c r="AJ38" s="87"/>
      <c r="AK38" s="87"/>
    </row>
    <row r="39" spans="1:37" ht="12" x14ac:dyDescent="0.2">
      <c r="A39" s="455" t="s">
        <v>165</v>
      </c>
      <c r="B39" s="456">
        <f t="shared" ref="B39:AC39" si="17">IF($B172&gt;=0.9, B$36,B$36*$B172)</f>
        <v>0.49392544390986814</v>
      </c>
      <c r="C39" s="456">
        <f t="shared" si="17"/>
        <v>0.49392544390986814</v>
      </c>
      <c r="D39" s="456">
        <f t="shared" si="17"/>
        <v>0.49392544390986814</v>
      </c>
      <c r="E39" s="456">
        <f t="shared" si="17"/>
        <v>0.49392544390986814</v>
      </c>
      <c r="F39" s="456">
        <f t="shared" si="17"/>
        <v>0.49392544390986814</v>
      </c>
      <c r="G39" s="456">
        <f t="shared" si="17"/>
        <v>0.49392544390986814</v>
      </c>
      <c r="H39" s="456">
        <f t="shared" si="17"/>
        <v>0.56448622161127793</v>
      </c>
      <c r="I39" s="456">
        <f t="shared" si="17"/>
        <v>0.56448622161127793</v>
      </c>
      <c r="J39" s="456">
        <f t="shared" si="17"/>
        <v>0.56448622161127793</v>
      </c>
      <c r="K39" s="456">
        <f t="shared" si="17"/>
        <v>0.63504699931268771</v>
      </c>
      <c r="L39" s="456">
        <f t="shared" si="17"/>
        <v>0.63504699931268771</v>
      </c>
      <c r="M39" s="456">
        <f t="shared" si="17"/>
        <v>0.63504699931268771</v>
      </c>
      <c r="N39" s="456">
        <f t="shared" si="17"/>
        <v>0.70560777701409738</v>
      </c>
      <c r="O39" s="456">
        <f t="shared" si="17"/>
        <v>0.70560777701409738</v>
      </c>
      <c r="P39" s="456">
        <f t="shared" si="17"/>
        <v>0.70560777701409738</v>
      </c>
      <c r="Q39" s="456">
        <f t="shared" si="17"/>
        <v>0.70560777701409738</v>
      </c>
      <c r="R39" s="456">
        <f t="shared" si="17"/>
        <v>0.70560777701409738</v>
      </c>
      <c r="S39" s="456">
        <f t="shared" si="17"/>
        <v>0.70560777701409738</v>
      </c>
      <c r="T39" s="456">
        <f t="shared" si="17"/>
        <v>0.70560777701409738</v>
      </c>
      <c r="U39" s="456">
        <f t="shared" si="17"/>
        <v>0.70560777701409738</v>
      </c>
      <c r="V39" s="456">
        <f t="shared" si="17"/>
        <v>0.70560777701409738</v>
      </c>
      <c r="W39" s="456">
        <f t="shared" si="17"/>
        <v>0.70560777701409738</v>
      </c>
      <c r="X39" s="456">
        <f t="shared" si="17"/>
        <v>0.70560777701409738</v>
      </c>
      <c r="Y39" s="456">
        <f t="shared" si="17"/>
        <v>0.70560777701409738</v>
      </c>
      <c r="Z39" s="456">
        <f t="shared" si="17"/>
        <v>0.70560777701409738</v>
      </c>
      <c r="AA39" s="456">
        <f t="shared" si="17"/>
        <v>0.70560777701409738</v>
      </c>
      <c r="AB39" s="456">
        <f t="shared" si="17"/>
        <v>0.70560777701409738</v>
      </c>
      <c r="AC39" s="456">
        <f t="shared" si="17"/>
        <v>0.49392544390986814</v>
      </c>
      <c r="AD39" s="92">
        <v>24</v>
      </c>
      <c r="AE39" s="92"/>
      <c r="AG39" s="436" t="s">
        <v>166</v>
      </c>
      <c r="AH39" s="437">
        <f>HLOOKUP($AH$20,$B$14:$AB$67,AD55,FALSE)</f>
        <v>0</v>
      </c>
      <c r="AI39" s="437"/>
      <c r="AJ39" s="87"/>
      <c r="AK39" s="87"/>
    </row>
    <row r="40" spans="1:37" ht="12" x14ac:dyDescent="0.2">
      <c r="A40" s="455" t="s">
        <v>167</v>
      </c>
      <c r="B40" s="456">
        <f t="shared" ref="B40:AC40" si="18">IF($B173&gt;=0.9, B$36,B$36*$B173)</f>
        <v>2.2727216088055098</v>
      </c>
      <c r="C40" s="456">
        <f t="shared" si="18"/>
        <v>2.2727216088055098</v>
      </c>
      <c r="D40" s="456">
        <f t="shared" si="18"/>
        <v>2.2727216088055098</v>
      </c>
      <c r="E40" s="456">
        <f t="shared" si="18"/>
        <v>2.2727216088055098</v>
      </c>
      <c r="F40" s="456">
        <f t="shared" si="18"/>
        <v>2.2727216088055098</v>
      </c>
      <c r="G40" s="456">
        <f t="shared" si="18"/>
        <v>2.2727216088055098</v>
      </c>
      <c r="H40" s="456">
        <f t="shared" si="18"/>
        <v>2.5973961243491548</v>
      </c>
      <c r="I40" s="456">
        <f t="shared" si="18"/>
        <v>2.5973961243491548</v>
      </c>
      <c r="J40" s="456">
        <f t="shared" si="18"/>
        <v>2.5973961243491548</v>
      </c>
      <c r="K40" s="456">
        <f t="shared" si="18"/>
        <v>2.9220706398927989</v>
      </c>
      <c r="L40" s="456">
        <f t="shared" si="18"/>
        <v>2.9220706398927989</v>
      </c>
      <c r="M40" s="456">
        <f t="shared" si="18"/>
        <v>2.9220706398927989</v>
      </c>
      <c r="N40" s="456">
        <f t="shared" si="18"/>
        <v>3.246745155436443</v>
      </c>
      <c r="O40" s="456">
        <f t="shared" si="18"/>
        <v>3.246745155436443</v>
      </c>
      <c r="P40" s="456">
        <f t="shared" si="18"/>
        <v>3.246745155436443</v>
      </c>
      <c r="Q40" s="456">
        <f t="shared" si="18"/>
        <v>3.246745155436443</v>
      </c>
      <c r="R40" s="456">
        <f t="shared" si="18"/>
        <v>3.246745155436443</v>
      </c>
      <c r="S40" s="456">
        <f t="shared" si="18"/>
        <v>3.246745155436443</v>
      </c>
      <c r="T40" s="456">
        <f t="shared" si="18"/>
        <v>3.246745155436443</v>
      </c>
      <c r="U40" s="456">
        <f t="shared" si="18"/>
        <v>3.246745155436443</v>
      </c>
      <c r="V40" s="456">
        <f t="shared" si="18"/>
        <v>3.246745155436443</v>
      </c>
      <c r="W40" s="456">
        <f t="shared" si="18"/>
        <v>3.246745155436443</v>
      </c>
      <c r="X40" s="456">
        <f t="shared" si="18"/>
        <v>3.246745155436443</v>
      </c>
      <c r="Y40" s="456">
        <f t="shared" si="18"/>
        <v>3.246745155436443</v>
      </c>
      <c r="Z40" s="456">
        <f t="shared" si="18"/>
        <v>3.246745155436443</v>
      </c>
      <c r="AA40" s="456">
        <f t="shared" si="18"/>
        <v>3.246745155436443</v>
      </c>
      <c r="AB40" s="456">
        <f t="shared" si="18"/>
        <v>3.246745155436443</v>
      </c>
      <c r="AC40" s="456">
        <f t="shared" si="18"/>
        <v>2.2727216088055098</v>
      </c>
      <c r="AD40" s="90">
        <v>25</v>
      </c>
      <c r="AE40" s="90"/>
      <c r="AG40" s="438">
        <v>8</v>
      </c>
      <c r="AH40" s="432">
        <f>IF(AH39-$AG40&lt;0,0,AH39-$AG40)</f>
        <v>0</v>
      </c>
      <c r="AI40" s="432">
        <f>IF(ISERROR((AH40/$AH$52)*$AH$22),0,(AH40/$AH$52)*$AH$22)</f>
        <v>0</v>
      </c>
      <c r="AJ40" s="87"/>
      <c r="AK40" s="87"/>
    </row>
    <row r="41" spans="1:37" ht="12" x14ac:dyDescent="0.2">
      <c r="A41" s="455" t="s">
        <v>168</v>
      </c>
      <c r="B41" s="456">
        <f t="shared" ref="B41:AC41" si="19">IF($B174&gt;=0.9, B$36,B$36*$B174)</f>
        <v>2.3060745560901315</v>
      </c>
      <c r="C41" s="456">
        <f t="shared" si="19"/>
        <v>2.3060745560901315</v>
      </c>
      <c r="D41" s="456">
        <f t="shared" si="19"/>
        <v>2.3060745560901315</v>
      </c>
      <c r="E41" s="456">
        <f t="shared" si="19"/>
        <v>2.3060745560901315</v>
      </c>
      <c r="F41" s="456">
        <f t="shared" si="19"/>
        <v>2.3060745560901315</v>
      </c>
      <c r="G41" s="456">
        <f t="shared" si="19"/>
        <v>2.3060745560901315</v>
      </c>
      <c r="H41" s="456">
        <f t="shared" si="19"/>
        <v>2.6355137783887219</v>
      </c>
      <c r="I41" s="456">
        <f t="shared" si="19"/>
        <v>2.6355137783887219</v>
      </c>
      <c r="J41" s="456">
        <f t="shared" si="19"/>
        <v>2.6355137783887219</v>
      </c>
      <c r="K41" s="456">
        <f t="shared" si="19"/>
        <v>2.9649530006873124</v>
      </c>
      <c r="L41" s="456">
        <f t="shared" si="19"/>
        <v>2.9649530006873124</v>
      </c>
      <c r="M41" s="456">
        <f t="shared" si="19"/>
        <v>2.9649530006873124</v>
      </c>
      <c r="N41" s="456">
        <f t="shared" si="19"/>
        <v>3.2943922229859024</v>
      </c>
      <c r="O41" s="456">
        <f t="shared" si="19"/>
        <v>3.2943922229859024</v>
      </c>
      <c r="P41" s="456">
        <f t="shared" si="19"/>
        <v>3.2943922229859024</v>
      </c>
      <c r="Q41" s="456">
        <f t="shared" si="19"/>
        <v>3.2943922229859024</v>
      </c>
      <c r="R41" s="456">
        <f t="shared" si="19"/>
        <v>3.2943922229859024</v>
      </c>
      <c r="S41" s="456">
        <f t="shared" si="19"/>
        <v>3.2943922229859024</v>
      </c>
      <c r="T41" s="456">
        <f t="shared" si="19"/>
        <v>3.2943922229859024</v>
      </c>
      <c r="U41" s="456">
        <f t="shared" si="19"/>
        <v>3.2943922229859024</v>
      </c>
      <c r="V41" s="456">
        <f t="shared" si="19"/>
        <v>3.2943922229859024</v>
      </c>
      <c r="W41" s="456">
        <f t="shared" si="19"/>
        <v>3.2943922229859024</v>
      </c>
      <c r="X41" s="456">
        <f t="shared" si="19"/>
        <v>3.2943922229859024</v>
      </c>
      <c r="Y41" s="456">
        <f t="shared" si="19"/>
        <v>3.2943922229859024</v>
      </c>
      <c r="Z41" s="456">
        <f t="shared" si="19"/>
        <v>3.2943922229859024</v>
      </c>
      <c r="AA41" s="456">
        <f t="shared" si="19"/>
        <v>3.2943922229859024</v>
      </c>
      <c r="AB41" s="456">
        <f t="shared" si="19"/>
        <v>3.2943922229859024</v>
      </c>
      <c r="AC41" s="456">
        <f t="shared" si="19"/>
        <v>2.3060745560901315</v>
      </c>
      <c r="AD41" s="92">
        <v>26</v>
      </c>
      <c r="AE41" s="92"/>
      <c r="AG41" s="436" t="s">
        <v>169</v>
      </c>
      <c r="AH41" s="437">
        <f>HLOOKUP($AH$20,$B$14:$AB$67,AD57,FALSE)</f>
        <v>10</v>
      </c>
      <c r="AI41" s="437"/>
      <c r="AJ41" s="87"/>
      <c r="AK41" s="87"/>
    </row>
    <row r="42" spans="1:37" ht="12" x14ac:dyDescent="0.2">
      <c r="A42" s="421" t="s">
        <v>170</v>
      </c>
      <c r="B42" s="456">
        <f t="shared" ref="B42:AC42" si="20">IF($B175&gt;=0.9, B$36,B$36*$B175)</f>
        <v>2.2727216088055098</v>
      </c>
      <c r="C42" s="456">
        <f t="shared" si="20"/>
        <v>2.2727216088055098</v>
      </c>
      <c r="D42" s="456">
        <f t="shared" si="20"/>
        <v>2.2727216088055098</v>
      </c>
      <c r="E42" s="456">
        <f t="shared" si="20"/>
        <v>2.2727216088055098</v>
      </c>
      <c r="F42" s="456">
        <f t="shared" si="20"/>
        <v>2.2727216088055098</v>
      </c>
      <c r="G42" s="456">
        <f t="shared" si="20"/>
        <v>2.2727216088055098</v>
      </c>
      <c r="H42" s="456">
        <f t="shared" si="20"/>
        <v>2.5973961243491548</v>
      </c>
      <c r="I42" s="456">
        <f t="shared" si="20"/>
        <v>2.5973961243491548</v>
      </c>
      <c r="J42" s="456">
        <f t="shared" si="20"/>
        <v>2.5973961243491548</v>
      </c>
      <c r="K42" s="456">
        <f t="shared" si="20"/>
        <v>2.9220706398927989</v>
      </c>
      <c r="L42" s="456">
        <f t="shared" si="20"/>
        <v>2.9220706398927989</v>
      </c>
      <c r="M42" s="456">
        <f t="shared" si="20"/>
        <v>2.9220706398927989</v>
      </c>
      <c r="N42" s="456">
        <f t="shared" si="20"/>
        <v>3.246745155436443</v>
      </c>
      <c r="O42" s="456">
        <f t="shared" si="20"/>
        <v>3.246745155436443</v>
      </c>
      <c r="P42" s="456">
        <f t="shared" si="20"/>
        <v>3.246745155436443</v>
      </c>
      <c r="Q42" s="456">
        <f t="shared" si="20"/>
        <v>3.246745155436443</v>
      </c>
      <c r="R42" s="456">
        <f t="shared" si="20"/>
        <v>3.246745155436443</v>
      </c>
      <c r="S42" s="456">
        <f t="shared" si="20"/>
        <v>3.246745155436443</v>
      </c>
      <c r="T42" s="456">
        <f t="shared" si="20"/>
        <v>3.246745155436443</v>
      </c>
      <c r="U42" s="456">
        <f t="shared" si="20"/>
        <v>3.246745155436443</v>
      </c>
      <c r="V42" s="456">
        <f t="shared" si="20"/>
        <v>3.246745155436443</v>
      </c>
      <c r="W42" s="456">
        <f t="shared" si="20"/>
        <v>3.246745155436443</v>
      </c>
      <c r="X42" s="456">
        <f t="shared" si="20"/>
        <v>3.246745155436443</v>
      </c>
      <c r="Y42" s="456">
        <f t="shared" si="20"/>
        <v>3.246745155436443</v>
      </c>
      <c r="Z42" s="456">
        <f t="shared" si="20"/>
        <v>3.246745155436443</v>
      </c>
      <c r="AA42" s="456">
        <f t="shared" si="20"/>
        <v>3.246745155436443</v>
      </c>
      <c r="AB42" s="456">
        <f t="shared" si="20"/>
        <v>3.246745155436443</v>
      </c>
      <c r="AC42" s="456">
        <f t="shared" si="20"/>
        <v>2.2727216088055098</v>
      </c>
      <c r="AD42" s="90">
        <v>27</v>
      </c>
      <c r="AE42" s="90"/>
      <c r="AG42" s="438">
        <v>6</v>
      </c>
      <c r="AH42" s="432">
        <f>IF(AH41-$AG42&lt;0,0,AH41-$AG42)</f>
        <v>4</v>
      </c>
      <c r="AI42" s="432">
        <f>IF(ISERROR((AH42/$AH$52)*$AH$22),0,(AH42/$AH$52)*$AH$22)</f>
        <v>0.54054054054054057</v>
      </c>
      <c r="AJ42" s="87"/>
      <c r="AK42" s="87"/>
    </row>
    <row r="43" spans="1:37" ht="12" x14ac:dyDescent="0.2">
      <c r="A43" s="455" t="s">
        <v>171</v>
      </c>
      <c r="B43" s="456">
        <f t="shared" ref="B43:AC43" si="21">IF($B176&gt;=0.9, B$36,B$36*$B176)</f>
        <v>2.3060745560901315</v>
      </c>
      <c r="C43" s="456">
        <f t="shared" si="21"/>
        <v>2.3060745560901315</v>
      </c>
      <c r="D43" s="456">
        <f t="shared" si="21"/>
        <v>2.3060745560901315</v>
      </c>
      <c r="E43" s="456">
        <f t="shared" si="21"/>
        <v>2.3060745560901315</v>
      </c>
      <c r="F43" s="456">
        <f t="shared" si="21"/>
        <v>2.3060745560901315</v>
      </c>
      <c r="G43" s="456">
        <f t="shared" si="21"/>
        <v>2.3060745560901315</v>
      </c>
      <c r="H43" s="456">
        <f t="shared" si="21"/>
        <v>2.6355137783887219</v>
      </c>
      <c r="I43" s="456">
        <f t="shared" si="21"/>
        <v>2.6355137783887219</v>
      </c>
      <c r="J43" s="456">
        <f t="shared" si="21"/>
        <v>2.6355137783887219</v>
      </c>
      <c r="K43" s="456">
        <f t="shared" si="21"/>
        <v>2.9649530006873124</v>
      </c>
      <c r="L43" s="456">
        <f t="shared" si="21"/>
        <v>2.9649530006873124</v>
      </c>
      <c r="M43" s="456">
        <f t="shared" si="21"/>
        <v>2.9649530006873124</v>
      </c>
      <c r="N43" s="456">
        <f t="shared" si="21"/>
        <v>3.2943922229859024</v>
      </c>
      <c r="O43" s="456">
        <f t="shared" si="21"/>
        <v>3.2943922229859024</v>
      </c>
      <c r="P43" s="456">
        <f t="shared" si="21"/>
        <v>3.2943922229859024</v>
      </c>
      <c r="Q43" s="456">
        <f t="shared" si="21"/>
        <v>3.2943922229859024</v>
      </c>
      <c r="R43" s="456">
        <f t="shared" si="21"/>
        <v>3.2943922229859024</v>
      </c>
      <c r="S43" s="456">
        <f t="shared" si="21"/>
        <v>3.2943922229859024</v>
      </c>
      <c r="T43" s="456">
        <f t="shared" si="21"/>
        <v>3.2943922229859024</v>
      </c>
      <c r="U43" s="456">
        <f t="shared" si="21"/>
        <v>3.2943922229859024</v>
      </c>
      <c r="V43" s="456">
        <f t="shared" si="21"/>
        <v>3.2943922229859024</v>
      </c>
      <c r="W43" s="456">
        <f t="shared" si="21"/>
        <v>3.2943922229859024</v>
      </c>
      <c r="X43" s="456">
        <f t="shared" si="21"/>
        <v>3.2943922229859024</v>
      </c>
      <c r="Y43" s="456">
        <f t="shared" si="21"/>
        <v>3.2943922229859024</v>
      </c>
      <c r="Z43" s="456">
        <f t="shared" si="21"/>
        <v>3.2943922229859024</v>
      </c>
      <c r="AA43" s="456">
        <f t="shared" si="21"/>
        <v>3.2943922229859024</v>
      </c>
      <c r="AB43" s="456">
        <f t="shared" si="21"/>
        <v>3.2943922229859024</v>
      </c>
      <c r="AC43" s="456">
        <f t="shared" si="21"/>
        <v>2.3060745560901315</v>
      </c>
      <c r="AD43" s="92">
        <v>28</v>
      </c>
      <c r="AE43" s="92"/>
      <c r="AG43" s="436" t="s">
        <v>172</v>
      </c>
      <c r="AH43" s="437">
        <f>HLOOKUP($AH$20,$B$14:$AB$67,AD59,FALSE)</f>
        <v>4</v>
      </c>
      <c r="AI43" s="437"/>
      <c r="AJ43" s="87"/>
      <c r="AK43" s="34"/>
    </row>
    <row r="44" spans="1:37" ht="12" x14ac:dyDescent="0.2">
      <c r="A44" s="455" t="s">
        <v>173</v>
      </c>
      <c r="B44" s="456">
        <f t="shared" ref="B44:AC44" si="22">IF(B$13="Deploy",B$36,IF($B177&gt;=0.9, B$36,B$36*$B177))</f>
        <v>0.49392544390986814</v>
      </c>
      <c r="C44" s="456">
        <f t="shared" si="22"/>
        <v>0.49392544390986814</v>
      </c>
      <c r="D44" s="456">
        <f t="shared" si="22"/>
        <v>0.49392544390986814</v>
      </c>
      <c r="E44" s="456">
        <f t="shared" si="22"/>
        <v>0.49392544390986814</v>
      </c>
      <c r="F44" s="456">
        <f t="shared" si="22"/>
        <v>0.49392544390986814</v>
      </c>
      <c r="G44" s="456">
        <f t="shared" si="22"/>
        <v>0.49392544390986814</v>
      </c>
      <c r="H44" s="456">
        <f t="shared" si="22"/>
        <v>0.56448622161127793</v>
      </c>
      <c r="I44" s="456">
        <f t="shared" si="22"/>
        <v>0.56448622161127793</v>
      </c>
      <c r="J44" s="456">
        <f t="shared" si="22"/>
        <v>0.56448622161127793</v>
      </c>
      <c r="K44" s="456">
        <f t="shared" si="22"/>
        <v>0.63504699931268771</v>
      </c>
      <c r="L44" s="456">
        <f t="shared" si="22"/>
        <v>0.63504699931268771</v>
      </c>
      <c r="M44" s="456">
        <f t="shared" si="22"/>
        <v>0.63504699931268771</v>
      </c>
      <c r="N44" s="456">
        <f t="shared" si="22"/>
        <v>0.70560777701409738</v>
      </c>
      <c r="O44" s="456">
        <f t="shared" si="22"/>
        <v>0.70560777701409738</v>
      </c>
      <c r="P44" s="456">
        <f t="shared" si="22"/>
        <v>0.70560777701409738</v>
      </c>
      <c r="Q44" s="456">
        <f t="shared" si="22"/>
        <v>0.70560777701409738</v>
      </c>
      <c r="R44" s="456">
        <f t="shared" si="22"/>
        <v>4</v>
      </c>
      <c r="S44" s="456">
        <f t="shared" si="22"/>
        <v>4</v>
      </c>
      <c r="T44" s="456">
        <f t="shared" si="22"/>
        <v>4</v>
      </c>
      <c r="U44" s="456">
        <f t="shared" si="22"/>
        <v>4</v>
      </c>
      <c r="V44" s="456">
        <f t="shared" si="22"/>
        <v>4</v>
      </c>
      <c r="W44" s="456">
        <f t="shared" si="22"/>
        <v>4</v>
      </c>
      <c r="X44" s="456">
        <f t="shared" si="22"/>
        <v>0.70560777701409738</v>
      </c>
      <c r="Y44" s="456">
        <f t="shared" si="22"/>
        <v>0.70560777701409738</v>
      </c>
      <c r="Z44" s="456">
        <f t="shared" si="22"/>
        <v>0.70560777701409738</v>
      </c>
      <c r="AA44" s="456">
        <f t="shared" si="22"/>
        <v>0.70560777701409738</v>
      </c>
      <c r="AB44" s="456">
        <f t="shared" si="22"/>
        <v>0.70560777701409738</v>
      </c>
      <c r="AC44" s="456">
        <f t="shared" si="22"/>
        <v>0.49392544390986814</v>
      </c>
      <c r="AD44" s="90">
        <v>29</v>
      </c>
      <c r="AE44" s="90"/>
      <c r="AG44" s="438">
        <v>6</v>
      </c>
      <c r="AH44" s="432">
        <f>IF(AH43-$AG44&lt;0,0,AH43-$AG44)</f>
        <v>0</v>
      </c>
      <c r="AI44" s="432">
        <f>IF(ISERROR((AH44/$AH$52)*$AH$22),0,(AH44/$AH$52)*$AH$22)</f>
        <v>0</v>
      </c>
      <c r="AJ44" s="87"/>
      <c r="AK44" s="34"/>
    </row>
    <row r="45" spans="1:37" s="11" customFormat="1" ht="12" x14ac:dyDescent="0.2">
      <c r="A45" s="455" t="s">
        <v>174</v>
      </c>
      <c r="B45" s="456">
        <f t="shared" ref="B45:AC45" si="23">IF($B178&gt;=0.9, B$36,B$36*$B178)</f>
        <v>2.3060745560901315</v>
      </c>
      <c r="C45" s="456">
        <f t="shared" si="23"/>
        <v>2.3060745560901315</v>
      </c>
      <c r="D45" s="456">
        <f t="shared" si="23"/>
        <v>2.3060745560901315</v>
      </c>
      <c r="E45" s="456">
        <f t="shared" si="23"/>
        <v>2.3060745560901315</v>
      </c>
      <c r="F45" s="456">
        <f t="shared" si="23"/>
        <v>2.3060745560901315</v>
      </c>
      <c r="G45" s="456">
        <f t="shared" si="23"/>
        <v>2.3060745560901315</v>
      </c>
      <c r="H45" s="456">
        <f t="shared" si="23"/>
        <v>2.6355137783887219</v>
      </c>
      <c r="I45" s="456">
        <f t="shared" si="23"/>
        <v>2.6355137783887219</v>
      </c>
      <c r="J45" s="456">
        <f t="shared" si="23"/>
        <v>2.6355137783887219</v>
      </c>
      <c r="K45" s="456">
        <f t="shared" si="23"/>
        <v>2.9649530006873124</v>
      </c>
      <c r="L45" s="456">
        <f t="shared" si="23"/>
        <v>2.9649530006873124</v>
      </c>
      <c r="M45" s="456">
        <f t="shared" si="23"/>
        <v>2.9649530006873124</v>
      </c>
      <c r="N45" s="456">
        <f t="shared" si="23"/>
        <v>3.2943922229859024</v>
      </c>
      <c r="O45" s="456">
        <f t="shared" si="23"/>
        <v>3.2943922229859024</v>
      </c>
      <c r="P45" s="456">
        <f t="shared" si="23"/>
        <v>3.2943922229859024</v>
      </c>
      <c r="Q45" s="456">
        <f t="shared" si="23"/>
        <v>3.2943922229859024</v>
      </c>
      <c r="R45" s="456">
        <f t="shared" si="23"/>
        <v>3.2943922229859024</v>
      </c>
      <c r="S45" s="456">
        <f t="shared" si="23"/>
        <v>3.2943922229859024</v>
      </c>
      <c r="T45" s="456">
        <f t="shared" si="23"/>
        <v>3.2943922229859024</v>
      </c>
      <c r="U45" s="456">
        <f t="shared" si="23"/>
        <v>3.2943922229859024</v>
      </c>
      <c r="V45" s="456">
        <f t="shared" si="23"/>
        <v>3.2943922229859024</v>
      </c>
      <c r="W45" s="456">
        <f t="shared" si="23"/>
        <v>3.2943922229859024</v>
      </c>
      <c r="X45" s="456">
        <f t="shared" si="23"/>
        <v>3.2943922229859024</v>
      </c>
      <c r="Y45" s="456">
        <f t="shared" si="23"/>
        <v>3.2943922229859024</v>
      </c>
      <c r="Z45" s="456">
        <f t="shared" si="23"/>
        <v>3.2943922229859024</v>
      </c>
      <c r="AA45" s="456">
        <f t="shared" si="23"/>
        <v>3.2943922229859024</v>
      </c>
      <c r="AB45" s="456">
        <f t="shared" si="23"/>
        <v>3.2943922229859024</v>
      </c>
      <c r="AC45" s="456">
        <f t="shared" si="23"/>
        <v>2.3060745560901315</v>
      </c>
      <c r="AD45" s="92">
        <v>30</v>
      </c>
      <c r="AE45" s="92"/>
      <c r="AF45" s="7"/>
      <c r="AG45" s="436" t="s">
        <v>175</v>
      </c>
      <c r="AH45" s="437">
        <f>HLOOKUP($AH$20,$B$14:$AB$67,AD61,FALSE)</f>
        <v>7</v>
      </c>
      <c r="AI45" s="437"/>
      <c r="AJ45" s="87"/>
      <c r="AK45" s="34"/>
    </row>
    <row r="46" spans="1:37" s="11" customFormat="1" ht="12" x14ac:dyDescent="0.2">
      <c r="A46" s="457" t="s">
        <v>176</v>
      </c>
      <c r="B46" s="456">
        <f t="shared" ref="B46:AC46" si="24">IF(B$13="Deploy",B$36,IF($B179&gt;=0.9, B$36,B$36*$B179))</f>
        <v>0.49392544390986814</v>
      </c>
      <c r="C46" s="456">
        <f t="shared" si="24"/>
        <v>0.49392544390986814</v>
      </c>
      <c r="D46" s="456">
        <f t="shared" si="24"/>
        <v>0.49392544390986814</v>
      </c>
      <c r="E46" s="456">
        <f t="shared" si="24"/>
        <v>0.49392544390986814</v>
      </c>
      <c r="F46" s="456">
        <f t="shared" si="24"/>
        <v>0.49392544390986814</v>
      </c>
      <c r="G46" s="456">
        <f t="shared" si="24"/>
        <v>0.49392544390986814</v>
      </c>
      <c r="H46" s="456">
        <f t="shared" si="24"/>
        <v>0.56448622161127793</v>
      </c>
      <c r="I46" s="456">
        <f t="shared" si="24"/>
        <v>0.56448622161127793</v>
      </c>
      <c r="J46" s="456">
        <f t="shared" si="24"/>
        <v>0.56448622161127793</v>
      </c>
      <c r="K46" s="456">
        <f t="shared" si="24"/>
        <v>0.63504699931268771</v>
      </c>
      <c r="L46" s="456">
        <f t="shared" si="24"/>
        <v>0.63504699931268771</v>
      </c>
      <c r="M46" s="456">
        <f t="shared" si="24"/>
        <v>0.63504699931268771</v>
      </c>
      <c r="N46" s="456">
        <f t="shared" si="24"/>
        <v>0.70560777701409738</v>
      </c>
      <c r="O46" s="456">
        <f t="shared" si="24"/>
        <v>0.70560777701409738</v>
      </c>
      <c r="P46" s="456">
        <f t="shared" si="24"/>
        <v>0.70560777701409738</v>
      </c>
      <c r="Q46" s="456">
        <f t="shared" si="24"/>
        <v>0.70560777701409738</v>
      </c>
      <c r="R46" s="456">
        <f t="shared" si="24"/>
        <v>4</v>
      </c>
      <c r="S46" s="456">
        <f t="shared" si="24"/>
        <v>4</v>
      </c>
      <c r="T46" s="456">
        <f t="shared" si="24"/>
        <v>4</v>
      </c>
      <c r="U46" s="456">
        <f t="shared" si="24"/>
        <v>4</v>
      </c>
      <c r="V46" s="456">
        <f t="shared" si="24"/>
        <v>4</v>
      </c>
      <c r="W46" s="456">
        <f t="shared" si="24"/>
        <v>4</v>
      </c>
      <c r="X46" s="456">
        <f t="shared" si="24"/>
        <v>0.70560777701409738</v>
      </c>
      <c r="Y46" s="456">
        <f t="shared" si="24"/>
        <v>0.70560777701409738</v>
      </c>
      <c r="Z46" s="456">
        <f t="shared" si="24"/>
        <v>0.70560777701409738</v>
      </c>
      <c r="AA46" s="456">
        <f t="shared" si="24"/>
        <v>0.70560777701409738</v>
      </c>
      <c r="AB46" s="456">
        <f t="shared" si="24"/>
        <v>0.70560777701409738</v>
      </c>
      <c r="AC46" s="456">
        <f t="shared" si="24"/>
        <v>0.49392544390986814</v>
      </c>
      <c r="AD46" s="90">
        <v>31</v>
      </c>
      <c r="AE46" s="90"/>
      <c r="AF46" s="107"/>
      <c r="AG46" s="438">
        <v>7</v>
      </c>
      <c r="AH46" s="432">
        <f>IF(AH45-$AG46&lt;0,0,AH45-$AG46)</f>
        <v>0</v>
      </c>
      <c r="AI46" s="432">
        <f>IF(ISERROR((AH46/$AH$52)*$AH$22),0,(AH46/$AH$52)*$AH$22)</f>
        <v>0</v>
      </c>
      <c r="AJ46" s="34"/>
      <c r="AK46" s="34"/>
    </row>
    <row r="47" spans="1:37" s="11" customFormat="1" x14ac:dyDescent="0.2">
      <c r="A47" s="458" t="s">
        <v>177</v>
      </c>
      <c r="B47" s="456">
        <f t="shared" ref="B47:AC47" si="25">IF(B$13="Deploy",B$36,IF($B180&gt;=0.9, B$36,B$36*$B180))</f>
        <v>2.8</v>
      </c>
      <c r="C47" s="456">
        <f t="shared" si="25"/>
        <v>2.8</v>
      </c>
      <c r="D47" s="456">
        <f t="shared" si="25"/>
        <v>2.8</v>
      </c>
      <c r="E47" s="456">
        <f t="shared" si="25"/>
        <v>2.8</v>
      </c>
      <c r="F47" s="456">
        <f t="shared" si="25"/>
        <v>2.8</v>
      </c>
      <c r="G47" s="456">
        <f t="shared" si="25"/>
        <v>2.8</v>
      </c>
      <c r="H47" s="456">
        <f t="shared" si="25"/>
        <v>3.2</v>
      </c>
      <c r="I47" s="456">
        <f t="shared" si="25"/>
        <v>3.2</v>
      </c>
      <c r="J47" s="456">
        <f t="shared" si="25"/>
        <v>3.2</v>
      </c>
      <c r="K47" s="456">
        <f t="shared" si="25"/>
        <v>3.6</v>
      </c>
      <c r="L47" s="456">
        <f t="shared" si="25"/>
        <v>3.6</v>
      </c>
      <c r="M47" s="456">
        <f t="shared" si="25"/>
        <v>3.6</v>
      </c>
      <c r="N47" s="456">
        <f t="shared" si="25"/>
        <v>4</v>
      </c>
      <c r="O47" s="456">
        <f t="shared" si="25"/>
        <v>4</v>
      </c>
      <c r="P47" s="456">
        <f t="shared" si="25"/>
        <v>4</v>
      </c>
      <c r="Q47" s="456">
        <f t="shared" si="25"/>
        <v>4</v>
      </c>
      <c r="R47" s="456">
        <f t="shared" si="25"/>
        <v>4</v>
      </c>
      <c r="S47" s="456">
        <f t="shared" si="25"/>
        <v>4</v>
      </c>
      <c r="T47" s="456">
        <f t="shared" si="25"/>
        <v>4</v>
      </c>
      <c r="U47" s="456">
        <f t="shared" si="25"/>
        <v>4</v>
      </c>
      <c r="V47" s="456">
        <f t="shared" si="25"/>
        <v>4</v>
      </c>
      <c r="W47" s="456">
        <f t="shared" si="25"/>
        <v>4</v>
      </c>
      <c r="X47" s="456">
        <f t="shared" si="25"/>
        <v>4</v>
      </c>
      <c r="Y47" s="456">
        <f t="shared" si="25"/>
        <v>4</v>
      </c>
      <c r="Z47" s="456">
        <f t="shared" si="25"/>
        <v>4</v>
      </c>
      <c r="AA47" s="456">
        <f t="shared" si="25"/>
        <v>4</v>
      </c>
      <c r="AB47" s="456">
        <f t="shared" si="25"/>
        <v>4</v>
      </c>
      <c r="AC47" s="456">
        <f t="shared" si="25"/>
        <v>2.8</v>
      </c>
      <c r="AD47" s="92">
        <v>32</v>
      </c>
      <c r="AE47" s="92"/>
      <c r="AF47" s="107"/>
      <c r="AG47" s="436" t="s">
        <v>178</v>
      </c>
      <c r="AH47" s="437">
        <f>HLOOKUP($AH$20,$B$14:$AB$67,AD63,FALSE)</f>
        <v>9</v>
      </c>
      <c r="AI47" s="437"/>
      <c r="AJ47" s="87"/>
      <c r="AK47" s="34"/>
    </row>
    <row r="48" spans="1:37" s="11" customFormat="1" ht="12" x14ac:dyDescent="0.2">
      <c r="A48" s="459" t="s">
        <v>179</v>
      </c>
      <c r="B48" s="460"/>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461"/>
      <c r="AD48" s="90">
        <v>33</v>
      </c>
      <c r="AE48" s="90"/>
      <c r="AF48" s="107"/>
      <c r="AG48" s="438">
        <v>4</v>
      </c>
      <c r="AH48" s="432">
        <f>IF(AH47-$AG48&lt;0,0,AH47-$AG48)</f>
        <v>5</v>
      </c>
      <c r="AI48" s="432">
        <f>IF(ISERROR((AH48/$AH$52)*$AH$22),0,(AH48/$AH$52)*$AH$22)</f>
        <v>0.67567567567567566</v>
      </c>
      <c r="AJ48" s="87"/>
      <c r="AK48" s="34"/>
    </row>
    <row r="49" spans="1:37" s="11" customFormat="1" ht="12" x14ac:dyDescent="0.2">
      <c r="A49" s="462" t="s">
        <v>180</v>
      </c>
      <c r="B49" s="463">
        <f>ROUNDUP(2*B$35,0)</f>
        <v>7</v>
      </c>
      <c r="C49" s="463">
        <f t="shared" ref="C49:G49" si="26">ROUNDUP(2*C$35,0)</f>
        <v>7</v>
      </c>
      <c r="D49" s="463">
        <f t="shared" si="26"/>
        <v>7</v>
      </c>
      <c r="E49" s="463">
        <f t="shared" si="26"/>
        <v>7</v>
      </c>
      <c r="F49" s="463">
        <f t="shared" si="26"/>
        <v>7</v>
      </c>
      <c r="G49" s="463">
        <f t="shared" si="26"/>
        <v>7</v>
      </c>
      <c r="H49" s="463">
        <f>ROUNDUP(3*H$35,0)</f>
        <v>12</v>
      </c>
      <c r="I49" s="463">
        <f t="shared" ref="I49:J49" si="27">ROUNDUP(3*I$35,0)</f>
        <v>12</v>
      </c>
      <c r="J49" s="463">
        <f t="shared" si="27"/>
        <v>12</v>
      </c>
      <c r="K49" s="463">
        <f>ROUNDUP(3*K$35,0)+1</f>
        <v>15</v>
      </c>
      <c r="L49" s="463">
        <f>ROUNDUP(3*L$35,0)+1</f>
        <v>15</v>
      </c>
      <c r="M49" s="463">
        <f>ROUNDUP(3*M$35,0)+1</f>
        <v>15</v>
      </c>
      <c r="N49" s="463">
        <f>ROUNDUP(4*N$35,0)-2</f>
        <v>18</v>
      </c>
      <c r="O49" s="463">
        <f t="shared" ref="O49:P49" si="28">ROUNDUP(4*O$35,0)-2</f>
        <v>18</v>
      </c>
      <c r="P49" s="463">
        <f t="shared" si="28"/>
        <v>18</v>
      </c>
      <c r="Q49" s="463">
        <f t="shared" ref="Q49:X49" si="29">ROUNDUP(4*Q$35,0)</f>
        <v>20</v>
      </c>
      <c r="R49" s="463">
        <f t="shared" si="29"/>
        <v>20</v>
      </c>
      <c r="S49" s="463">
        <f t="shared" si="29"/>
        <v>20</v>
      </c>
      <c r="T49" s="463">
        <f t="shared" si="29"/>
        <v>20</v>
      </c>
      <c r="U49" s="463">
        <f t="shared" si="29"/>
        <v>20</v>
      </c>
      <c r="V49" s="463">
        <f t="shared" si="29"/>
        <v>20</v>
      </c>
      <c r="W49" s="463">
        <f t="shared" si="29"/>
        <v>20</v>
      </c>
      <c r="X49" s="463">
        <f t="shared" si="29"/>
        <v>20</v>
      </c>
      <c r="Y49" s="463">
        <f t="shared" ref="Y49:AB49" si="30">ROUNDUP(4*Y$35,0)-2</f>
        <v>18</v>
      </c>
      <c r="Z49" s="463">
        <f t="shared" si="30"/>
        <v>18</v>
      </c>
      <c r="AA49" s="463">
        <f t="shared" si="30"/>
        <v>18</v>
      </c>
      <c r="AB49" s="334">
        <f t="shared" si="30"/>
        <v>18</v>
      </c>
      <c r="AC49" s="464">
        <v>7</v>
      </c>
      <c r="AD49" s="92">
        <v>34</v>
      </c>
      <c r="AE49" s="92"/>
      <c r="AF49" s="107"/>
      <c r="AG49" s="436" t="s">
        <v>181</v>
      </c>
      <c r="AH49" s="437">
        <f>HLOOKUP($AH$20,$B$14:$AB$67,AD65,FALSE)</f>
        <v>7</v>
      </c>
      <c r="AI49" s="437"/>
      <c r="AJ49" s="87"/>
      <c r="AK49" s="87"/>
    </row>
    <row r="50" spans="1:37" s="11" customFormat="1" thickBot="1" x14ac:dyDescent="0.25">
      <c r="A50" s="462" t="s">
        <v>148</v>
      </c>
      <c r="B50" s="463">
        <f>ROUNDUP(2*B$35,0)-1</f>
        <v>6</v>
      </c>
      <c r="C50" s="463">
        <f t="shared" ref="C50:G50" si="31">ROUNDUP(2*C$35,0)-1</f>
        <v>6</v>
      </c>
      <c r="D50" s="463">
        <f t="shared" si="31"/>
        <v>6</v>
      </c>
      <c r="E50" s="463">
        <f t="shared" si="31"/>
        <v>6</v>
      </c>
      <c r="F50" s="463">
        <f t="shared" si="31"/>
        <v>6</v>
      </c>
      <c r="G50" s="463">
        <f t="shared" si="31"/>
        <v>6</v>
      </c>
      <c r="H50" s="463">
        <f>ROUNDUP(3*H$35,0)-1</f>
        <v>11</v>
      </c>
      <c r="I50" s="463">
        <f t="shared" ref="I50:J50" si="32">ROUNDUP(3*I$35,0)-1</f>
        <v>11</v>
      </c>
      <c r="J50" s="463">
        <f t="shared" si="32"/>
        <v>11</v>
      </c>
      <c r="K50" s="463">
        <f>ROUNDUP(3*K$35,0)</f>
        <v>14</v>
      </c>
      <c r="L50" s="463">
        <f>ROUNDUP(3*L$35,0)</f>
        <v>14</v>
      </c>
      <c r="M50" s="463">
        <f>ROUNDUP(3*M$35,0)</f>
        <v>14</v>
      </c>
      <c r="N50" s="463">
        <f>ROUNDUP(3*N$35,0)+1</f>
        <v>16</v>
      </c>
      <c r="O50" s="463">
        <f t="shared" ref="O50:P50" si="33">ROUNDUP(3*O$35,0)+1</f>
        <v>16</v>
      </c>
      <c r="P50" s="463">
        <f t="shared" si="33"/>
        <v>16</v>
      </c>
      <c r="Q50" s="463">
        <f t="shared" ref="Q50:X50" si="34">ROUNDUP(3*Q$35,0)+2</f>
        <v>17</v>
      </c>
      <c r="R50" s="463">
        <f t="shared" si="34"/>
        <v>17</v>
      </c>
      <c r="S50" s="463">
        <f t="shared" si="34"/>
        <v>17</v>
      </c>
      <c r="T50" s="463">
        <f t="shared" si="34"/>
        <v>17</v>
      </c>
      <c r="U50" s="463">
        <f t="shared" si="34"/>
        <v>17</v>
      </c>
      <c r="V50" s="463">
        <f t="shared" si="34"/>
        <v>17</v>
      </c>
      <c r="W50" s="463">
        <f t="shared" si="34"/>
        <v>17</v>
      </c>
      <c r="X50" s="463">
        <f t="shared" si="34"/>
        <v>17</v>
      </c>
      <c r="Y50" s="463">
        <f t="shared" ref="Y50:AB50" si="35">ROUNDUP(3*Y$35,0)+1</f>
        <v>16</v>
      </c>
      <c r="Z50" s="463">
        <f t="shared" si="35"/>
        <v>16</v>
      </c>
      <c r="AA50" s="463">
        <f t="shared" si="35"/>
        <v>16</v>
      </c>
      <c r="AB50" s="334">
        <f t="shared" si="35"/>
        <v>16</v>
      </c>
      <c r="AC50" s="464">
        <v>6</v>
      </c>
      <c r="AD50" s="90">
        <v>35</v>
      </c>
      <c r="AE50" s="90"/>
      <c r="AF50" s="107"/>
      <c r="AG50" s="441">
        <v>4</v>
      </c>
      <c r="AH50" s="442">
        <f>IF(AH49-$AG50&lt;0,0,AH49-$AG50)</f>
        <v>3</v>
      </c>
      <c r="AI50" s="442">
        <f>IF(ISERROR((AH50/$AH$52)*$AH$22),0,(AH50/$AH$52)*$AH$22)</f>
        <v>0.40540540540540543</v>
      </c>
      <c r="AJ50" s="87"/>
      <c r="AK50" s="87"/>
    </row>
    <row r="51" spans="1:37" s="11" customFormat="1" ht="12" x14ac:dyDescent="0.2">
      <c r="A51" s="465" t="s">
        <v>182</v>
      </c>
      <c r="B51" s="466">
        <f>B49</f>
        <v>7</v>
      </c>
      <c r="C51" s="466">
        <f t="shared" ref="C51:G51" si="36">C49</f>
        <v>7</v>
      </c>
      <c r="D51" s="466">
        <f t="shared" si="36"/>
        <v>7</v>
      </c>
      <c r="E51" s="466">
        <f t="shared" si="36"/>
        <v>7</v>
      </c>
      <c r="F51" s="466">
        <f t="shared" si="36"/>
        <v>7</v>
      </c>
      <c r="G51" s="466">
        <f t="shared" si="36"/>
        <v>7</v>
      </c>
      <c r="H51" s="466">
        <f>H49</f>
        <v>12</v>
      </c>
      <c r="I51" s="466">
        <f t="shared" ref="I51:J51" si="37">I49</f>
        <v>12</v>
      </c>
      <c r="J51" s="466">
        <f t="shared" si="37"/>
        <v>12</v>
      </c>
      <c r="K51" s="466">
        <f t="shared" ref="K51:AB51" si="38">K49+2</f>
        <v>17</v>
      </c>
      <c r="L51" s="466">
        <f t="shared" si="38"/>
        <v>17</v>
      </c>
      <c r="M51" s="466">
        <f t="shared" si="38"/>
        <v>17</v>
      </c>
      <c r="N51" s="466">
        <f t="shared" si="38"/>
        <v>20</v>
      </c>
      <c r="O51" s="466">
        <f t="shared" si="38"/>
        <v>20</v>
      </c>
      <c r="P51" s="466">
        <f t="shared" si="38"/>
        <v>20</v>
      </c>
      <c r="Q51" s="466">
        <f t="shared" si="38"/>
        <v>22</v>
      </c>
      <c r="R51" s="466">
        <f t="shared" si="38"/>
        <v>22</v>
      </c>
      <c r="S51" s="466">
        <f t="shared" si="38"/>
        <v>22</v>
      </c>
      <c r="T51" s="466">
        <f t="shared" si="38"/>
        <v>22</v>
      </c>
      <c r="U51" s="466">
        <f t="shared" si="38"/>
        <v>22</v>
      </c>
      <c r="V51" s="466">
        <f t="shared" si="38"/>
        <v>22</v>
      </c>
      <c r="W51" s="466">
        <f t="shared" si="38"/>
        <v>22</v>
      </c>
      <c r="X51" s="466">
        <f t="shared" si="38"/>
        <v>22</v>
      </c>
      <c r="Y51" s="466">
        <f t="shared" si="38"/>
        <v>20</v>
      </c>
      <c r="Z51" s="466">
        <f t="shared" si="38"/>
        <v>20</v>
      </c>
      <c r="AA51" s="466">
        <f t="shared" si="38"/>
        <v>20</v>
      </c>
      <c r="AB51" s="67">
        <f t="shared" si="38"/>
        <v>20</v>
      </c>
      <c r="AC51" s="467">
        <v>7</v>
      </c>
      <c r="AD51" s="92">
        <v>36</v>
      </c>
      <c r="AE51" s="92"/>
      <c r="AF51" s="107"/>
      <c r="AG51" s="108" t="s">
        <v>155</v>
      </c>
      <c r="AH51" s="108" t="s">
        <v>156</v>
      </c>
      <c r="AI51" s="108" t="s">
        <v>183</v>
      </c>
      <c r="AJ51" s="87"/>
      <c r="AK51" s="87"/>
    </row>
    <row r="52" spans="1:37" s="11" customFormat="1" ht="12" x14ac:dyDescent="0.2">
      <c r="A52" s="465" t="s">
        <v>152</v>
      </c>
      <c r="B52" s="66">
        <f t="shared" ref="B52:AC52" si="39">B50</f>
        <v>6</v>
      </c>
      <c r="C52" s="66">
        <f t="shared" si="39"/>
        <v>6</v>
      </c>
      <c r="D52" s="66">
        <f t="shared" si="39"/>
        <v>6</v>
      </c>
      <c r="E52" s="66">
        <f t="shared" si="39"/>
        <v>6</v>
      </c>
      <c r="F52" s="66">
        <f t="shared" si="39"/>
        <v>6</v>
      </c>
      <c r="G52" s="66">
        <f t="shared" si="39"/>
        <v>6</v>
      </c>
      <c r="H52" s="66">
        <f t="shared" si="39"/>
        <v>11</v>
      </c>
      <c r="I52" s="66">
        <f t="shared" si="39"/>
        <v>11</v>
      </c>
      <c r="J52" s="66">
        <f t="shared" si="39"/>
        <v>11</v>
      </c>
      <c r="K52" s="66">
        <f t="shared" si="39"/>
        <v>14</v>
      </c>
      <c r="L52" s="66">
        <f t="shared" si="39"/>
        <v>14</v>
      </c>
      <c r="M52" s="66">
        <f t="shared" si="39"/>
        <v>14</v>
      </c>
      <c r="N52" s="66">
        <f t="shared" si="39"/>
        <v>16</v>
      </c>
      <c r="O52" s="66">
        <f t="shared" si="39"/>
        <v>16</v>
      </c>
      <c r="P52" s="66">
        <f t="shared" si="39"/>
        <v>16</v>
      </c>
      <c r="Q52" s="66">
        <f t="shared" si="39"/>
        <v>17</v>
      </c>
      <c r="R52" s="66">
        <f t="shared" si="39"/>
        <v>17</v>
      </c>
      <c r="S52" s="66">
        <f t="shared" si="39"/>
        <v>17</v>
      </c>
      <c r="T52" s="66">
        <f t="shared" si="39"/>
        <v>17</v>
      </c>
      <c r="U52" s="66">
        <f t="shared" si="39"/>
        <v>17</v>
      </c>
      <c r="V52" s="66">
        <f t="shared" si="39"/>
        <v>17</v>
      </c>
      <c r="W52" s="66">
        <f t="shared" si="39"/>
        <v>17</v>
      </c>
      <c r="X52" s="66">
        <f t="shared" si="39"/>
        <v>17</v>
      </c>
      <c r="Y52" s="66">
        <f t="shared" si="39"/>
        <v>16</v>
      </c>
      <c r="Z52" s="66">
        <f t="shared" si="39"/>
        <v>16</v>
      </c>
      <c r="AA52" s="66">
        <f t="shared" si="39"/>
        <v>16</v>
      </c>
      <c r="AB52" s="335">
        <f t="shared" si="39"/>
        <v>16</v>
      </c>
      <c r="AC52" s="468">
        <f t="shared" si="39"/>
        <v>6</v>
      </c>
      <c r="AD52" s="90">
        <v>37</v>
      </c>
      <c r="AE52" s="90"/>
      <c r="AF52" s="43" t="s">
        <v>159</v>
      </c>
      <c r="AG52" s="447">
        <f>SUM(AG40,AG42,AG44,AG46,AG48,AG50)</f>
        <v>35</v>
      </c>
      <c r="AH52" s="447">
        <f>SUM(AH39,AH41,AH43,AH45,AH47,AH49)</f>
        <v>37</v>
      </c>
      <c r="AI52" s="447">
        <f>SUM(AI39:AI50)</f>
        <v>1.6216216216216217</v>
      </c>
      <c r="AJ52" s="87"/>
      <c r="AK52" s="87"/>
    </row>
    <row r="53" spans="1:37" s="11" customFormat="1" ht="12" x14ac:dyDescent="0.2">
      <c r="A53" s="469" t="s">
        <v>184</v>
      </c>
      <c r="B53" s="470"/>
      <c r="C53" s="64"/>
      <c r="D53" s="64"/>
      <c r="E53" s="64"/>
      <c r="F53" s="64"/>
      <c r="G53" s="64"/>
      <c r="H53" s="64"/>
      <c r="I53" s="64"/>
      <c r="J53" s="64"/>
      <c r="K53" s="67"/>
      <c r="L53" s="67"/>
      <c r="M53" s="67"/>
      <c r="N53" s="67"/>
      <c r="O53" s="67"/>
      <c r="P53" s="67"/>
      <c r="Q53" s="64"/>
      <c r="R53" s="67"/>
      <c r="S53" s="67"/>
      <c r="T53" s="67"/>
      <c r="U53" s="67"/>
      <c r="V53" s="67"/>
      <c r="W53" s="67"/>
      <c r="X53" s="68"/>
      <c r="Y53" s="68"/>
      <c r="Z53" s="67"/>
      <c r="AA53" s="67"/>
      <c r="AB53" s="67"/>
      <c r="AC53" s="467"/>
      <c r="AD53" s="92">
        <v>38</v>
      </c>
      <c r="AE53" s="92"/>
      <c r="AF53" s="109"/>
      <c r="AG53" s="87"/>
      <c r="AH53" s="87"/>
      <c r="AI53" s="87"/>
      <c r="AJ53" s="87"/>
      <c r="AK53" s="87"/>
    </row>
    <row r="54" spans="1:37" s="11" customFormat="1" ht="12" x14ac:dyDescent="0.2">
      <c r="A54" s="471" t="s">
        <v>185</v>
      </c>
      <c r="B54" s="472">
        <f t="shared" ref="B54:G55" si="40">ROUND($B124/$B$2*B$35*0.4,0)</f>
        <v>4</v>
      </c>
      <c r="C54" s="472">
        <f t="shared" si="40"/>
        <v>4</v>
      </c>
      <c r="D54" s="472">
        <f t="shared" si="40"/>
        <v>4</v>
      </c>
      <c r="E54" s="472">
        <f t="shared" si="40"/>
        <v>4</v>
      </c>
      <c r="F54" s="472">
        <f t="shared" si="40"/>
        <v>4</v>
      </c>
      <c r="G54" s="472">
        <f t="shared" si="40"/>
        <v>4</v>
      </c>
      <c r="H54" s="472">
        <f>ROUND($B124/$B$2*H$35*0.6,0)</f>
        <v>7</v>
      </c>
      <c r="I54" s="472">
        <f>ROUND($B124/$B$2*I$35*0.6,0)</f>
        <v>7</v>
      </c>
      <c r="J54" s="472">
        <f>ROUND($B124/$B$2*J$35*0.6,0)</f>
        <v>7</v>
      </c>
      <c r="K54" s="472">
        <f>ROUND($B124/$B$2*K$35*0.8,0)</f>
        <v>10</v>
      </c>
      <c r="L54" s="472">
        <f>ROUND($B124/$B$2*L$35*0.8,0)</f>
        <v>10</v>
      </c>
      <c r="M54" s="472">
        <f>ROUND($B124/$B$2*M$35*0.8,0)</f>
        <v>10</v>
      </c>
      <c r="N54" s="472">
        <f>ROUND($B124/$B$2*N$35,0)-2</f>
        <v>12</v>
      </c>
      <c r="O54" s="472">
        <f>ROUND($B124/$B$2*O$35,0)-2</f>
        <v>12</v>
      </c>
      <c r="P54" s="472">
        <f>ROUND($B124/$B$2*P$35,0)-2</f>
        <v>12</v>
      </c>
      <c r="Q54" s="472">
        <f t="shared" ref="Q54:X65" si="41">ROUND($B124/$B$2*Q$35,0)</f>
        <v>14</v>
      </c>
      <c r="R54" s="472">
        <f t="shared" si="41"/>
        <v>14</v>
      </c>
      <c r="S54" s="472">
        <f t="shared" si="41"/>
        <v>14</v>
      </c>
      <c r="T54" s="472">
        <f t="shared" si="41"/>
        <v>14</v>
      </c>
      <c r="U54" s="472">
        <f t="shared" si="41"/>
        <v>14</v>
      </c>
      <c r="V54" s="472">
        <f t="shared" si="41"/>
        <v>14</v>
      </c>
      <c r="W54" s="472">
        <f t="shared" si="41"/>
        <v>14</v>
      </c>
      <c r="X54" s="472">
        <f t="shared" si="41"/>
        <v>14</v>
      </c>
      <c r="Y54" s="472">
        <f>ROUND($B124/$B$2*Y$35,0)-2</f>
        <v>12</v>
      </c>
      <c r="Z54" s="472">
        <f>ROUND($B124/$B$2*Z$35,0)-2</f>
        <v>12</v>
      </c>
      <c r="AA54" s="472">
        <f>ROUND($B124/$B$2*AA$35,0)-2</f>
        <v>12</v>
      </c>
      <c r="AB54" s="473">
        <f>ROUND($B124/$B$2*AB$35,0)-2</f>
        <v>12</v>
      </c>
      <c r="AC54" s="472">
        <v>4</v>
      </c>
      <c r="AD54" s="90">
        <v>39</v>
      </c>
      <c r="AE54" s="90"/>
      <c r="AF54" s="87"/>
      <c r="AG54" s="116"/>
      <c r="AH54" s="95"/>
      <c r="AI54" s="95"/>
      <c r="AJ54" s="87"/>
      <c r="AK54" s="87"/>
    </row>
    <row r="55" spans="1:37" s="11" customFormat="1" ht="12" x14ac:dyDescent="0.2">
      <c r="A55" s="471" t="s">
        <v>186</v>
      </c>
      <c r="B55" s="472">
        <f t="shared" si="40"/>
        <v>3</v>
      </c>
      <c r="C55" s="472">
        <f t="shared" si="40"/>
        <v>3</v>
      </c>
      <c r="D55" s="472">
        <f t="shared" si="40"/>
        <v>3</v>
      </c>
      <c r="E55" s="472">
        <f t="shared" si="40"/>
        <v>3</v>
      </c>
      <c r="F55" s="472">
        <f t="shared" si="40"/>
        <v>3</v>
      </c>
      <c r="G55" s="472">
        <f t="shared" si="40"/>
        <v>3</v>
      </c>
      <c r="H55" s="472">
        <f>ROUND($B125/$B$2*H$35*0.8,0)</f>
        <v>6</v>
      </c>
      <c r="I55" s="472">
        <f>ROUND($B125/$B$2*I$35*0.8,0)</f>
        <v>6</v>
      </c>
      <c r="J55" s="472">
        <f>ROUND($B125/$B$2*J$35*0.8,0)</f>
        <v>6</v>
      </c>
      <c r="K55" s="472">
        <f>ROUND($B125/$B$2*K$35*0.9,0)</f>
        <v>8</v>
      </c>
      <c r="L55" s="472">
        <f>ROUND($B125/$B$2*L$35*0.9,0)</f>
        <v>8</v>
      </c>
      <c r="M55" s="472">
        <f>ROUND($B125/$B$2*M$35*0.9,0)</f>
        <v>8</v>
      </c>
      <c r="N55" s="472">
        <f>ROUND($B125/$B$2*N$35,0)-1</f>
        <v>9</v>
      </c>
      <c r="O55" s="472">
        <f>ROUND($B125/$B$2*O$35,0)-1</f>
        <v>9</v>
      </c>
      <c r="P55" s="472">
        <f>ROUND($B125/$B$2*P$35,0)-1</f>
        <v>9</v>
      </c>
      <c r="Q55" s="472">
        <f t="shared" si="41"/>
        <v>10</v>
      </c>
      <c r="R55" s="472">
        <f t="shared" si="41"/>
        <v>10</v>
      </c>
      <c r="S55" s="472">
        <f t="shared" si="41"/>
        <v>10</v>
      </c>
      <c r="T55" s="472">
        <f t="shared" si="41"/>
        <v>10</v>
      </c>
      <c r="U55" s="472">
        <f t="shared" si="41"/>
        <v>10</v>
      </c>
      <c r="V55" s="472">
        <f t="shared" si="41"/>
        <v>10</v>
      </c>
      <c r="W55" s="472">
        <f t="shared" si="41"/>
        <v>10</v>
      </c>
      <c r="X55" s="472">
        <f t="shared" si="41"/>
        <v>10</v>
      </c>
      <c r="Y55" s="472">
        <f>ROUND($B125/$B$2*Y$35,0)-1</f>
        <v>9</v>
      </c>
      <c r="Z55" s="472">
        <f>ROUND($B125/$B$2*Z$35,0)-1</f>
        <v>9</v>
      </c>
      <c r="AA55" s="472">
        <f>ROUND($B125/$B$2*AA$35,0)-1</f>
        <v>9</v>
      </c>
      <c r="AB55" s="473">
        <f>ROUND($B125/$B$2*AB$35,0)-1</f>
        <v>9</v>
      </c>
      <c r="AC55" s="472">
        <v>3</v>
      </c>
      <c r="AD55" s="92">
        <v>40</v>
      </c>
      <c r="AE55" s="92"/>
      <c r="AG55" s="87"/>
      <c r="AH55" s="87"/>
      <c r="AI55" s="87"/>
      <c r="AJ55" s="87"/>
      <c r="AK55" s="87"/>
    </row>
    <row r="56" spans="1:37" s="11" customFormat="1" ht="12" x14ac:dyDescent="0.2">
      <c r="A56" s="465" t="s">
        <v>187</v>
      </c>
      <c r="B56" s="474">
        <v>0</v>
      </c>
      <c r="C56" s="474">
        <v>0</v>
      </c>
      <c r="D56" s="474">
        <v>0</v>
      </c>
      <c r="E56" s="474">
        <v>0</v>
      </c>
      <c r="F56" s="474">
        <v>0</v>
      </c>
      <c r="G56" s="474">
        <v>0</v>
      </c>
      <c r="H56" s="474">
        <f>ROUND($B126/$B$2*H$35*0.3,0)</f>
        <v>2</v>
      </c>
      <c r="I56" s="474">
        <f>ROUND($B126/$B$2*I$35*0.3,0)</f>
        <v>2</v>
      </c>
      <c r="J56" s="474">
        <f>ROUND($B126/$B$2*J$35*0.3,0)</f>
        <v>2</v>
      </c>
      <c r="K56" s="474">
        <f t="shared" ref="K56:M59" si="42">ROUND($B126/$B$2*K$35*0.6,0)</f>
        <v>4</v>
      </c>
      <c r="L56" s="474">
        <f t="shared" si="42"/>
        <v>4</v>
      </c>
      <c r="M56" s="474">
        <f t="shared" si="42"/>
        <v>4</v>
      </c>
      <c r="N56" s="474">
        <f>ROUND($B126/$B$2*N$35,0)-2</f>
        <v>6</v>
      </c>
      <c r="O56" s="474">
        <f>ROUND($B126/$B$2*O$35,0)-2</f>
        <v>6</v>
      </c>
      <c r="P56" s="474">
        <f>ROUND($B126/$B$2*P$35,0)-2</f>
        <v>6</v>
      </c>
      <c r="Q56" s="474">
        <f t="shared" si="41"/>
        <v>8</v>
      </c>
      <c r="R56" s="474">
        <f t="shared" si="41"/>
        <v>8</v>
      </c>
      <c r="S56" s="474">
        <f t="shared" si="41"/>
        <v>8</v>
      </c>
      <c r="T56" s="474">
        <f t="shared" si="41"/>
        <v>8</v>
      </c>
      <c r="U56" s="474">
        <f t="shared" si="41"/>
        <v>8</v>
      </c>
      <c r="V56" s="474">
        <f t="shared" si="41"/>
        <v>8</v>
      </c>
      <c r="W56" s="474">
        <f t="shared" si="41"/>
        <v>8</v>
      </c>
      <c r="X56" s="474">
        <f t="shared" si="41"/>
        <v>8</v>
      </c>
      <c r="Y56" s="474">
        <f>ROUND($B126/$B$2*Y$35,0)-2</f>
        <v>6</v>
      </c>
      <c r="Z56" s="474">
        <f>ROUND($B126/$B$2*Z$35,0)-2</f>
        <v>6</v>
      </c>
      <c r="AA56" s="474">
        <f>ROUND($B126/$B$2*AA$35,0)-2</f>
        <v>6</v>
      </c>
      <c r="AB56" s="475">
        <f>ROUND($B126/$B$2*AB$35,0)-2</f>
        <v>6</v>
      </c>
      <c r="AC56" s="474">
        <v>0</v>
      </c>
      <c r="AD56" s="90">
        <v>41</v>
      </c>
      <c r="AE56" s="90"/>
      <c r="AF56" s="87"/>
      <c r="AG56" s="110"/>
      <c r="AH56" s="95"/>
      <c r="AI56" s="95"/>
      <c r="AJ56" s="87"/>
      <c r="AK56" s="87"/>
    </row>
    <row r="57" spans="1:37" s="11" customFormat="1" ht="12" x14ac:dyDescent="0.2">
      <c r="A57" s="465" t="s">
        <v>188</v>
      </c>
      <c r="B57" s="474">
        <v>0</v>
      </c>
      <c r="C57" s="474">
        <v>0</v>
      </c>
      <c r="D57" s="474">
        <v>0</v>
      </c>
      <c r="E57" s="474">
        <v>0</v>
      </c>
      <c r="F57" s="474">
        <v>0</v>
      </c>
      <c r="G57" s="474">
        <v>0</v>
      </c>
      <c r="H57" s="474">
        <f>ROUND($B127/$B$2*H$35*0.4,0)</f>
        <v>1</v>
      </c>
      <c r="I57" s="474">
        <f>ROUND($B127/$B$2*I$35*0.4,0)</f>
        <v>1</v>
      </c>
      <c r="J57" s="474">
        <f>ROUND($B127/$B$2*J$35*0.4,0)</f>
        <v>1</v>
      </c>
      <c r="K57" s="474">
        <f t="shared" si="42"/>
        <v>2</v>
      </c>
      <c r="L57" s="474">
        <f t="shared" si="42"/>
        <v>2</v>
      </c>
      <c r="M57" s="474">
        <f t="shared" si="42"/>
        <v>2</v>
      </c>
      <c r="N57" s="474">
        <f>ROUND($B127/$B$2*N$35,0)-1</f>
        <v>3</v>
      </c>
      <c r="O57" s="474">
        <f>ROUND($B127/$B$2*O$35,0)-1</f>
        <v>3</v>
      </c>
      <c r="P57" s="474">
        <f>ROUND($B127/$B$2*P$35,0)-1</f>
        <v>3</v>
      </c>
      <c r="Q57" s="474">
        <f t="shared" si="41"/>
        <v>4</v>
      </c>
      <c r="R57" s="474">
        <f t="shared" si="41"/>
        <v>4</v>
      </c>
      <c r="S57" s="474">
        <f t="shared" si="41"/>
        <v>4</v>
      </c>
      <c r="T57" s="474">
        <f t="shared" si="41"/>
        <v>4</v>
      </c>
      <c r="U57" s="474">
        <f t="shared" si="41"/>
        <v>4</v>
      </c>
      <c r="V57" s="474">
        <f t="shared" si="41"/>
        <v>4</v>
      </c>
      <c r="W57" s="474">
        <f t="shared" si="41"/>
        <v>4</v>
      </c>
      <c r="X57" s="474">
        <f t="shared" si="41"/>
        <v>4</v>
      </c>
      <c r="Y57" s="474">
        <f>ROUND($B127/$B$2*Y$35,0)-1</f>
        <v>3</v>
      </c>
      <c r="Z57" s="474">
        <f>ROUND($B127/$B$2*Z$35,0)-1</f>
        <v>3</v>
      </c>
      <c r="AA57" s="474">
        <f>ROUND($B127/$B$2*AA$35,0)-1</f>
        <v>3</v>
      </c>
      <c r="AB57" s="475">
        <f>ROUND($B127/$B$2*AB$35,0)-1</f>
        <v>3</v>
      </c>
      <c r="AC57" s="474">
        <v>0</v>
      </c>
      <c r="AD57" s="92">
        <v>42</v>
      </c>
      <c r="AE57" s="92"/>
      <c r="AF57" s="107"/>
      <c r="AG57" s="110"/>
      <c r="AH57" s="95"/>
      <c r="AI57" s="95"/>
      <c r="AJ57" s="87"/>
      <c r="AK57" s="87"/>
    </row>
    <row r="58" spans="1:37" s="11" customFormat="1" x14ac:dyDescent="0.2">
      <c r="A58" s="471" t="s">
        <v>189</v>
      </c>
      <c r="B58" s="472">
        <v>0</v>
      </c>
      <c r="C58" s="472">
        <v>0</v>
      </c>
      <c r="D58" s="472">
        <v>0</v>
      </c>
      <c r="E58" s="472">
        <v>0</v>
      </c>
      <c r="F58" s="472">
        <v>0</v>
      </c>
      <c r="G58" s="472">
        <v>0</v>
      </c>
      <c r="H58" s="472">
        <f>ROUND($B128/$B$2*H$35*0.3,0)</f>
        <v>3</v>
      </c>
      <c r="I58" s="472">
        <f>ROUND($B128/$B$2*I$35*0.3,0)</f>
        <v>3</v>
      </c>
      <c r="J58" s="472">
        <f>ROUND($B128/$B$2*J$35*0.3,0)</f>
        <v>3</v>
      </c>
      <c r="K58" s="472">
        <f t="shared" si="42"/>
        <v>6</v>
      </c>
      <c r="L58" s="472">
        <f t="shared" si="42"/>
        <v>6</v>
      </c>
      <c r="M58" s="472">
        <f t="shared" si="42"/>
        <v>6</v>
      </c>
      <c r="N58" s="472">
        <f>ROUND($B128/$B$2*N$35,0)-2</f>
        <v>9</v>
      </c>
      <c r="O58" s="472">
        <f>ROUND($B128/$B$2*O$35,0)-2</f>
        <v>9</v>
      </c>
      <c r="P58" s="472">
        <f>ROUND($B128/$B$2*P$35,0)-2</f>
        <v>9</v>
      </c>
      <c r="Q58" s="472">
        <f t="shared" si="41"/>
        <v>11</v>
      </c>
      <c r="R58" s="472">
        <f t="shared" si="41"/>
        <v>11</v>
      </c>
      <c r="S58" s="472">
        <f t="shared" si="41"/>
        <v>11</v>
      </c>
      <c r="T58" s="472">
        <f t="shared" si="41"/>
        <v>11</v>
      </c>
      <c r="U58" s="472">
        <f t="shared" si="41"/>
        <v>11</v>
      </c>
      <c r="V58" s="472">
        <f t="shared" si="41"/>
        <v>11</v>
      </c>
      <c r="W58" s="472">
        <f t="shared" si="41"/>
        <v>11</v>
      </c>
      <c r="X58" s="472">
        <f t="shared" si="41"/>
        <v>11</v>
      </c>
      <c r="Y58" s="472">
        <f>ROUND($B128/$B$2*Y$35,0)-2</f>
        <v>9</v>
      </c>
      <c r="Z58" s="472">
        <f>ROUND($B128/$B$2*Z$35,0)-2</f>
        <v>9</v>
      </c>
      <c r="AA58" s="472">
        <f>ROUND($B128/$B$2*AA$35,0)-2</f>
        <v>9</v>
      </c>
      <c r="AB58" s="473">
        <f>ROUND($B128/$B$2*AB$35,0)-2</f>
        <v>9</v>
      </c>
      <c r="AC58" s="472">
        <v>0</v>
      </c>
      <c r="AD58" s="90">
        <v>43</v>
      </c>
      <c r="AE58" s="90"/>
      <c r="AF58" s="109"/>
      <c r="AG58" s="109"/>
      <c r="AH58" s="95"/>
      <c r="AI58" s="87"/>
      <c r="AJ58" s="72"/>
      <c r="AK58" s="87"/>
    </row>
    <row r="59" spans="1:37" s="11" customFormat="1" x14ac:dyDescent="0.2">
      <c r="A59" s="471" t="s">
        <v>190</v>
      </c>
      <c r="B59" s="472">
        <v>0</v>
      </c>
      <c r="C59" s="472">
        <v>0</v>
      </c>
      <c r="D59" s="472">
        <v>0</v>
      </c>
      <c r="E59" s="472">
        <v>0</v>
      </c>
      <c r="F59" s="472">
        <v>0</v>
      </c>
      <c r="G59" s="472">
        <v>0</v>
      </c>
      <c r="H59" s="472">
        <f>ROUND($B129/$B$2*H$35*0.4,0)</f>
        <v>2</v>
      </c>
      <c r="I59" s="472">
        <f>ROUND($B129/$B$2*I$35*0.4,0)</f>
        <v>2</v>
      </c>
      <c r="J59" s="472">
        <f>ROUND($B129/$B$2*J$35*0.4,0)</f>
        <v>2</v>
      </c>
      <c r="K59" s="472">
        <f t="shared" si="42"/>
        <v>4</v>
      </c>
      <c r="L59" s="472">
        <f t="shared" si="42"/>
        <v>4</v>
      </c>
      <c r="M59" s="472">
        <f t="shared" si="42"/>
        <v>4</v>
      </c>
      <c r="N59" s="472">
        <f>ROUND($B129/$B$2*N$35,0)-1</f>
        <v>6</v>
      </c>
      <c r="O59" s="472">
        <f>ROUND($B129/$B$2*O$35,0)-1</f>
        <v>6</v>
      </c>
      <c r="P59" s="472">
        <f>ROUND($B129/$B$2*P$35,0)-1</f>
        <v>6</v>
      </c>
      <c r="Q59" s="472">
        <f t="shared" si="41"/>
        <v>7</v>
      </c>
      <c r="R59" s="472">
        <f t="shared" si="41"/>
        <v>7</v>
      </c>
      <c r="S59" s="472">
        <f t="shared" si="41"/>
        <v>7</v>
      </c>
      <c r="T59" s="472">
        <f t="shared" si="41"/>
        <v>7</v>
      </c>
      <c r="U59" s="472">
        <f t="shared" si="41"/>
        <v>7</v>
      </c>
      <c r="V59" s="472">
        <f t="shared" si="41"/>
        <v>7</v>
      </c>
      <c r="W59" s="472">
        <f t="shared" si="41"/>
        <v>7</v>
      </c>
      <c r="X59" s="472">
        <f t="shared" si="41"/>
        <v>7</v>
      </c>
      <c r="Y59" s="472">
        <f>ROUND($B129/$B$2*Y$35,0)-1</f>
        <v>6</v>
      </c>
      <c r="Z59" s="472">
        <f>ROUND($B129/$B$2*Z$35,0)-1</f>
        <v>6</v>
      </c>
      <c r="AA59" s="472">
        <f>ROUND($B129/$B$2*AA$35,0)-1</f>
        <v>6</v>
      </c>
      <c r="AB59" s="473">
        <f>ROUND($B129/$B$2*AB$35,0)-1</f>
        <v>6</v>
      </c>
      <c r="AC59" s="472">
        <v>0</v>
      </c>
      <c r="AD59" s="92">
        <v>44</v>
      </c>
      <c r="AE59" s="92"/>
      <c r="AF59" s="109"/>
      <c r="AG59" s="20"/>
      <c r="AH59" s="20"/>
      <c r="AJ59" s="72"/>
      <c r="AK59" s="87"/>
    </row>
    <row r="60" spans="1:37" s="11" customFormat="1" x14ac:dyDescent="0.2">
      <c r="A60" s="465" t="s">
        <v>191</v>
      </c>
      <c r="B60" s="474">
        <f t="shared" ref="B60:G60" si="43">ROUND($B130/$B$2*B$35*0.4,0)</f>
        <v>4</v>
      </c>
      <c r="C60" s="474">
        <f t="shared" si="43"/>
        <v>4</v>
      </c>
      <c r="D60" s="474">
        <f t="shared" si="43"/>
        <v>4</v>
      </c>
      <c r="E60" s="474">
        <f t="shared" si="43"/>
        <v>4</v>
      </c>
      <c r="F60" s="474">
        <f t="shared" si="43"/>
        <v>4</v>
      </c>
      <c r="G60" s="474">
        <f t="shared" si="43"/>
        <v>4</v>
      </c>
      <c r="H60" s="474">
        <f>ROUND($B130/$B$2*H$35*0.7,0)</f>
        <v>7</v>
      </c>
      <c r="I60" s="474">
        <f>ROUND($B130/$B$2*I$35*0.7,0)</f>
        <v>7</v>
      </c>
      <c r="J60" s="474">
        <f>ROUND($B130/$B$2*J$35*0.7,0)</f>
        <v>7</v>
      </c>
      <c r="K60" s="474">
        <f>ROUND($B130/$B$2*K$35*0.85,0)</f>
        <v>10</v>
      </c>
      <c r="L60" s="474">
        <f>ROUND($B130/$B$2*L$35*0.85,0)</f>
        <v>10</v>
      </c>
      <c r="M60" s="474">
        <f>ROUND($B130/$B$2*M$35*0.85,0)</f>
        <v>10</v>
      </c>
      <c r="N60" s="474">
        <f>ROUND($B130/$B$2*N$35,0)-2</f>
        <v>11</v>
      </c>
      <c r="O60" s="474">
        <f>ROUND($B130/$B$2*O$35,0)-2</f>
        <v>11</v>
      </c>
      <c r="P60" s="474">
        <f>ROUND($B130/$B$2*P$35,0)-2</f>
        <v>11</v>
      </c>
      <c r="Q60" s="474">
        <f t="shared" si="41"/>
        <v>13</v>
      </c>
      <c r="R60" s="474">
        <f t="shared" si="41"/>
        <v>13</v>
      </c>
      <c r="S60" s="474">
        <f t="shared" si="41"/>
        <v>13</v>
      </c>
      <c r="T60" s="474">
        <f t="shared" si="41"/>
        <v>13</v>
      </c>
      <c r="U60" s="474">
        <f t="shared" si="41"/>
        <v>13</v>
      </c>
      <c r="V60" s="474">
        <f t="shared" si="41"/>
        <v>13</v>
      </c>
      <c r="W60" s="474">
        <f t="shared" si="41"/>
        <v>13</v>
      </c>
      <c r="X60" s="474">
        <f t="shared" si="41"/>
        <v>13</v>
      </c>
      <c r="Y60" s="474">
        <f>ROUND($B130/$B$2*Y$35,0)-2</f>
        <v>11</v>
      </c>
      <c r="Z60" s="474">
        <f>ROUND($B130/$B$2*Z$35,0)-2</f>
        <v>11</v>
      </c>
      <c r="AA60" s="474">
        <f>ROUND($B130/$B$2*AA$35,0)-2</f>
        <v>11</v>
      </c>
      <c r="AB60" s="475">
        <f>ROUND($B130/$B$2*AB$35,0)-2</f>
        <v>11</v>
      </c>
      <c r="AC60" s="474">
        <v>4</v>
      </c>
      <c r="AD60" s="90">
        <v>45</v>
      </c>
      <c r="AE60" s="90"/>
      <c r="AF60" s="107"/>
      <c r="AG60" s="20"/>
      <c r="AH60" s="20"/>
      <c r="AI60" s="7"/>
      <c r="AJ60" s="72"/>
      <c r="AK60" s="34"/>
    </row>
    <row r="61" spans="1:37" s="11" customFormat="1" x14ac:dyDescent="0.2">
      <c r="A61" s="465" t="s">
        <v>192</v>
      </c>
      <c r="B61" s="474">
        <f t="shared" ref="B61:G62" si="44">ROUND($B131/$B$2*B$35*0.5,0)</f>
        <v>3</v>
      </c>
      <c r="C61" s="474">
        <f t="shared" si="44"/>
        <v>3</v>
      </c>
      <c r="D61" s="474">
        <f t="shared" si="44"/>
        <v>3</v>
      </c>
      <c r="E61" s="474">
        <f t="shared" si="44"/>
        <v>3</v>
      </c>
      <c r="F61" s="474">
        <f t="shared" si="44"/>
        <v>3</v>
      </c>
      <c r="G61" s="474">
        <f t="shared" si="44"/>
        <v>3</v>
      </c>
      <c r="H61" s="474">
        <f>ROUND($B131/$B$2*H$35*0.9,0)</f>
        <v>6</v>
      </c>
      <c r="I61" s="474">
        <f>ROUND($B131/$B$2*I$35*0.9,0)</f>
        <v>6</v>
      </c>
      <c r="J61" s="474">
        <f>ROUND($B131/$B$2*J$35*0.9,0)</f>
        <v>6</v>
      </c>
      <c r="K61" s="474">
        <f>ROUND($B131/$B$2*K$35,0)</f>
        <v>8</v>
      </c>
      <c r="L61" s="474">
        <f>ROUND($B131/$B$2*L$35,0)</f>
        <v>8</v>
      </c>
      <c r="M61" s="474">
        <f>ROUND($B131/$B$2*M$35,0)</f>
        <v>8</v>
      </c>
      <c r="N61" s="474">
        <f>ROUND($B131/$B$2*N$35,0)-1</f>
        <v>8</v>
      </c>
      <c r="O61" s="474">
        <f>ROUND($B131/$B$2*O$35,0)-1</f>
        <v>8</v>
      </c>
      <c r="P61" s="474">
        <f>ROUND($B131/$B$2*P$35,0)-1</f>
        <v>8</v>
      </c>
      <c r="Q61" s="474">
        <f t="shared" si="41"/>
        <v>9</v>
      </c>
      <c r="R61" s="474">
        <f t="shared" si="41"/>
        <v>9</v>
      </c>
      <c r="S61" s="474">
        <f t="shared" si="41"/>
        <v>9</v>
      </c>
      <c r="T61" s="474">
        <f t="shared" si="41"/>
        <v>9</v>
      </c>
      <c r="U61" s="474">
        <f t="shared" si="41"/>
        <v>9</v>
      </c>
      <c r="V61" s="474">
        <f t="shared" si="41"/>
        <v>9</v>
      </c>
      <c r="W61" s="474">
        <f t="shared" si="41"/>
        <v>9</v>
      </c>
      <c r="X61" s="474">
        <f t="shared" si="41"/>
        <v>9</v>
      </c>
      <c r="Y61" s="474">
        <f>ROUND($B131/$B$2*Y$35,0)-1</f>
        <v>8</v>
      </c>
      <c r="Z61" s="474">
        <f>ROUND($B131/$B$2*Z$35,0)-1</f>
        <v>8</v>
      </c>
      <c r="AA61" s="474">
        <f>ROUND($B131/$B$2*AA$35,0)-1</f>
        <v>8</v>
      </c>
      <c r="AB61" s="475">
        <f>ROUND($B131/$B$2*AB$35,0)-1</f>
        <v>8</v>
      </c>
      <c r="AC61" s="474">
        <v>3</v>
      </c>
      <c r="AD61" s="92">
        <v>46</v>
      </c>
      <c r="AE61" s="92"/>
      <c r="AF61" s="107"/>
      <c r="AG61" s="7"/>
      <c r="AH61" s="7"/>
      <c r="AI61" s="7"/>
      <c r="AJ61" s="72"/>
      <c r="AK61" s="34"/>
    </row>
    <row r="62" spans="1:37" s="11" customFormat="1" ht="12" x14ac:dyDescent="0.2">
      <c r="A62" s="471" t="s">
        <v>193</v>
      </c>
      <c r="B62" s="472">
        <f t="shared" si="44"/>
        <v>4</v>
      </c>
      <c r="C62" s="472">
        <f t="shared" si="44"/>
        <v>4</v>
      </c>
      <c r="D62" s="472">
        <f t="shared" si="44"/>
        <v>4</v>
      </c>
      <c r="E62" s="472">
        <f t="shared" si="44"/>
        <v>4</v>
      </c>
      <c r="F62" s="472">
        <f t="shared" si="44"/>
        <v>4</v>
      </c>
      <c r="G62" s="472">
        <f t="shared" si="44"/>
        <v>4</v>
      </c>
      <c r="H62" s="472">
        <f>ROUND($B132/$B$2*H$35*0.6,0)</f>
        <v>5</v>
      </c>
      <c r="I62" s="472">
        <f>ROUND($B132/$B$2*I$35*0.6,0)</f>
        <v>5</v>
      </c>
      <c r="J62" s="472">
        <f>ROUND($B132/$B$2*J$35*0.6,0)</f>
        <v>5</v>
      </c>
      <c r="K62" s="472">
        <f>ROUND($B132/$B$2*K$35*0.8,0)</f>
        <v>8</v>
      </c>
      <c r="L62" s="472">
        <f>ROUND($B132/$B$2*L$35*0.8,0)</f>
        <v>8</v>
      </c>
      <c r="M62" s="472">
        <f>ROUND($B132/$B$2*M$35*0.8,0)</f>
        <v>8</v>
      </c>
      <c r="N62" s="472">
        <f>ROUND($B132/$B$2*N$35,0)-2</f>
        <v>9</v>
      </c>
      <c r="O62" s="472">
        <f>ROUND($B132/$B$2*O$35,0)-2</f>
        <v>9</v>
      </c>
      <c r="P62" s="472">
        <f>ROUND($B132/$B$2*P$35,0)-2</f>
        <v>9</v>
      </c>
      <c r="Q62" s="472">
        <f t="shared" si="41"/>
        <v>11</v>
      </c>
      <c r="R62" s="472">
        <f t="shared" si="41"/>
        <v>11</v>
      </c>
      <c r="S62" s="472">
        <f t="shared" si="41"/>
        <v>11</v>
      </c>
      <c r="T62" s="472">
        <f t="shared" si="41"/>
        <v>11</v>
      </c>
      <c r="U62" s="472">
        <f t="shared" si="41"/>
        <v>11</v>
      </c>
      <c r="V62" s="472">
        <f t="shared" si="41"/>
        <v>11</v>
      </c>
      <c r="W62" s="472">
        <f t="shared" si="41"/>
        <v>11</v>
      </c>
      <c r="X62" s="472">
        <f t="shared" si="41"/>
        <v>11</v>
      </c>
      <c r="Y62" s="472">
        <f>ROUND($B132/$B$2*Y$35,0)-2</f>
        <v>9</v>
      </c>
      <c r="Z62" s="472">
        <f>ROUND($B132/$B$2*Z$35,0)-2</f>
        <v>9</v>
      </c>
      <c r="AA62" s="472">
        <f>ROUND($B132/$B$2*AA$35,0)-2</f>
        <v>9</v>
      </c>
      <c r="AB62" s="473">
        <f>ROUND($B132/$B$2*AB$35,0)-2</f>
        <v>9</v>
      </c>
      <c r="AC62" s="472">
        <v>4</v>
      </c>
      <c r="AD62" s="90">
        <v>47</v>
      </c>
      <c r="AE62" s="90"/>
      <c r="AF62" s="20"/>
      <c r="AG62" s="7"/>
      <c r="AH62" s="7"/>
      <c r="AI62" s="7"/>
      <c r="AK62" s="34"/>
    </row>
    <row r="63" spans="1:37" s="11" customFormat="1" ht="12" x14ac:dyDescent="0.2">
      <c r="A63" s="471" t="s">
        <v>194</v>
      </c>
      <c r="B63" s="472">
        <f t="shared" ref="B63:G63" si="45">ROUND($B133/$B$2*B$35*0.6,0)</f>
        <v>3</v>
      </c>
      <c r="C63" s="472">
        <f t="shared" si="45"/>
        <v>3</v>
      </c>
      <c r="D63" s="472">
        <f t="shared" si="45"/>
        <v>3</v>
      </c>
      <c r="E63" s="472">
        <f t="shared" si="45"/>
        <v>3</v>
      </c>
      <c r="F63" s="472">
        <f t="shared" si="45"/>
        <v>3</v>
      </c>
      <c r="G63" s="472">
        <f t="shared" si="45"/>
        <v>3</v>
      </c>
      <c r="H63" s="472">
        <f>ROUND($B133/$B$2*H$35*0.8,0)</f>
        <v>4</v>
      </c>
      <c r="I63" s="472">
        <f>ROUND($B133/$B$2*I$35*0.8,0)</f>
        <v>4</v>
      </c>
      <c r="J63" s="472">
        <f>ROUND($B133/$B$2*J$35*0.7,0)</f>
        <v>4</v>
      </c>
      <c r="K63" s="472">
        <f>ROUND($B133/$B$2*K$35,0)</f>
        <v>6</v>
      </c>
      <c r="L63" s="472">
        <f>ROUND($B133/$B$2*L$35,0)</f>
        <v>6</v>
      </c>
      <c r="M63" s="472">
        <f>ROUND($B133/$B$2*M$35,0)</f>
        <v>6</v>
      </c>
      <c r="N63" s="472">
        <f>ROUND($B133/$B$2*N$35,0)-1</f>
        <v>6</v>
      </c>
      <c r="O63" s="472">
        <f>ROUND($B133/$B$2*O$35,0)-1</f>
        <v>6</v>
      </c>
      <c r="P63" s="472">
        <f>ROUND($B133/$B$2*P$35,0)-1</f>
        <v>6</v>
      </c>
      <c r="Q63" s="472">
        <f t="shared" si="41"/>
        <v>7</v>
      </c>
      <c r="R63" s="472">
        <f t="shared" si="41"/>
        <v>7</v>
      </c>
      <c r="S63" s="472">
        <f t="shared" si="41"/>
        <v>7</v>
      </c>
      <c r="T63" s="472">
        <f t="shared" si="41"/>
        <v>7</v>
      </c>
      <c r="U63" s="472">
        <f t="shared" si="41"/>
        <v>7</v>
      </c>
      <c r="V63" s="472">
        <f t="shared" si="41"/>
        <v>7</v>
      </c>
      <c r="W63" s="472">
        <f t="shared" si="41"/>
        <v>7</v>
      </c>
      <c r="X63" s="472">
        <f t="shared" si="41"/>
        <v>7</v>
      </c>
      <c r="Y63" s="472">
        <f>ROUND($B133/$B$2*Y$35,0)-1</f>
        <v>6</v>
      </c>
      <c r="Z63" s="472">
        <f>ROUND($B133/$B$2*Z$35,0)-1</f>
        <v>6</v>
      </c>
      <c r="AA63" s="472">
        <f>ROUND($B133/$B$2*AA$35,0)-1</f>
        <v>6</v>
      </c>
      <c r="AB63" s="473">
        <f>ROUND($B133/$B$2*AB$35,0)-1</f>
        <v>6</v>
      </c>
      <c r="AC63" s="472">
        <v>3</v>
      </c>
      <c r="AD63" s="92">
        <v>48</v>
      </c>
      <c r="AE63" s="92"/>
      <c r="AF63" s="20"/>
      <c r="AG63" s="7"/>
      <c r="AH63" s="7"/>
      <c r="AI63" s="7"/>
      <c r="AJ63" s="7"/>
      <c r="AK63" s="34"/>
    </row>
    <row r="64" spans="1:37" s="11" customFormat="1" ht="12" x14ac:dyDescent="0.2">
      <c r="A64" s="465" t="s">
        <v>195</v>
      </c>
      <c r="B64" s="474">
        <f t="shared" ref="B64:J64" si="46">ROUND($B134/$B$2*B$35*0.5,0)</f>
        <v>4</v>
      </c>
      <c r="C64" s="474">
        <f t="shared" si="46"/>
        <v>4</v>
      </c>
      <c r="D64" s="474">
        <f t="shared" si="46"/>
        <v>4</v>
      </c>
      <c r="E64" s="474">
        <f t="shared" si="46"/>
        <v>4</v>
      </c>
      <c r="F64" s="474">
        <f t="shared" si="46"/>
        <v>4</v>
      </c>
      <c r="G64" s="474">
        <f t="shared" si="46"/>
        <v>4</v>
      </c>
      <c r="H64" s="474">
        <f t="shared" si="46"/>
        <v>5</v>
      </c>
      <c r="I64" s="474">
        <f t="shared" si="46"/>
        <v>5</v>
      </c>
      <c r="J64" s="474">
        <f t="shared" si="46"/>
        <v>5</v>
      </c>
      <c r="K64" s="474">
        <f>ROUND($B134/$B$2*K$35*0.7,0)</f>
        <v>8</v>
      </c>
      <c r="L64" s="474">
        <f>ROUND($B134/$B$2*L$35*0.7,0)</f>
        <v>8</v>
      </c>
      <c r="M64" s="474">
        <f>ROUND($B134/$B$2*M$35*0.7,0)</f>
        <v>8</v>
      </c>
      <c r="N64" s="474">
        <f>ROUND($B134/$B$2*N$35,0)-2</f>
        <v>10</v>
      </c>
      <c r="O64" s="474">
        <f>ROUND($B134/$B$2*O$35,0)-2</f>
        <v>10</v>
      </c>
      <c r="P64" s="474">
        <f>ROUND($B134/$B$2*P$35,0)-2</f>
        <v>10</v>
      </c>
      <c r="Q64" s="474">
        <f t="shared" si="41"/>
        <v>12</v>
      </c>
      <c r="R64" s="474">
        <f t="shared" si="41"/>
        <v>12</v>
      </c>
      <c r="S64" s="474">
        <f t="shared" si="41"/>
        <v>12</v>
      </c>
      <c r="T64" s="474">
        <f t="shared" si="41"/>
        <v>12</v>
      </c>
      <c r="U64" s="474">
        <f t="shared" si="41"/>
        <v>12</v>
      </c>
      <c r="V64" s="474">
        <f t="shared" si="41"/>
        <v>12</v>
      </c>
      <c r="W64" s="474">
        <f t="shared" si="41"/>
        <v>12</v>
      </c>
      <c r="X64" s="474">
        <f t="shared" si="41"/>
        <v>12</v>
      </c>
      <c r="Y64" s="474">
        <f>ROUND($B134/$B$2*Y$35,0)-2</f>
        <v>10</v>
      </c>
      <c r="Z64" s="474">
        <f>ROUND($B134/$B$2*Z$35,0)-2</f>
        <v>10</v>
      </c>
      <c r="AA64" s="474">
        <f>ROUND($B134/$B$2*AA$35,0)-2</f>
        <v>10</v>
      </c>
      <c r="AB64" s="475">
        <f>ROUND($B134/$B$2*AB$35,0)-2</f>
        <v>10</v>
      </c>
      <c r="AC64" s="474">
        <v>4</v>
      </c>
      <c r="AD64" s="90">
        <v>49</v>
      </c>
      <c r="AE64" s="90"/>
      <c r="AF64" s="7"/>
      <c r="AG64" s="7"/>
      <c r="AH64" s="7"/>
      <c r="AI64" s="7"/>
      <c r="AJ64" s="7"/>
      <c r="AK64" s="34"/>
    </row>
    <row r="65" spans="1:46" s="11" customFormat="1" thickBot="1" x14ac:dyDescent="0.25">
      <c r="A65" s="476" t="s">
        <v>196</v>
      </c>
      <c r="B65" s="477">
        <f t="shared" ref="B65:G65" si="47">ROUND($B135/$B$2*B$35*0.5,0)</f>
        <v>3</v>
      </c>
      <c r="C65" s="477">
        <f t="shared" si="47"/>
        <v>3</v>
      </c>
      <c r="D65" s="477">
        <f t="shared" si="47"/>
        <v>3</v>
      </c>
      <c r="E65" s="477">
        <f t="shared" si="47"/>
        <v>3</v>
      </c>
      <c r="F65" s="477">
        <f t="shared" si="47"/>
        <v>3</v>
      </c>
      <c r="G65" s="477">
        <f t="shared" si="47"/>
        <v>3</v>
      </c>
      <c r="H65" s="477">
        <f>ROUND($B135/$B$2*H$35*0.6,0)</f>
        <v>4</v>
      </c>
      <c r="I65" s="477">
        <f>ROUND($B135/$B$2*I$35*0.6,0)</f>
        <v>4</v>
      </c>
      <c r="J65" s="477">
        <f>ROUND($B135/$B$2*J$35*0.6,0)</f>
        <v>4</v>
      </c>
      <c r="K65" s="477">
        <f>ROUND($B135/$B$2*K$35*0.9,0)</f>
        <v>6</v>
      </c>
      <c r="L65" s="477">
        <f>ROUND($B135/$B$2*L$35*0.9,0)</f>
        <v>6</v>
      </c>
      <c r="M65" s="477">
        <f>ROUND($B135/$B$2*M$35*0.9,0)</f>
        <v>6</v>
      </c>
      <c r="N65" s="477">
        <f>ROUND($B135/$B$2*N$35,0)-1</f>
        <v>7</v>
      </c>
      <c r="O65" s="477">
        <f>ROUND($B135/$B$2*O$35,0)-1</f>
        <v>7</v>
      </c>
      <c r="P65" s="477">
        <f>ROUND($B135/$B$2*P$35,0)-1</f>
        <v>7</v>
      </c>
      <c r="Q65" s="477">
        <f t="shared" si="41"/>
        <v>8</v>
      </c>
      <c r="R65" s="477">
        <f t="shared" si="41"/>
        <v>8</v>
      </c>
      <c r="S65" s="477">
        <f t="shared" si="41"/>
        <v>8</v>
      </c>
      <c r="T65" s="477">
        <f t="shared" si="41"/>
        <v>8</v>
      </c>
      <c r="U65" s="477">
        <f t="shared" si="41"/>
        <v>8</v>
      </c>
      <c r="V65" s="477">
        <f t="shared" si="41"/>
        <v>8</v>
      </c>
      <c r="W65" s="477">
        <f t="shared" si="41"/>
        <v>8</v>
      </c>
      <c r="X65" s="477">
        <f t="shared" si="41"/>
        <v>8</v>
      </c>
      <c r="Y65" s="477">
        <f>ROUND($B135/$B$2*Y$35,0)-1</f>
        <v>7</v>
      </c>
      <c r="Z65" s="477">
        <f>ROUND($B135/$B$2*Z$35,0)-1</f>
        <v>7</v>
      </c>
      <c r="AA65" s="477">
        <f>ROUND($B135/$B$2*AA$35,0)-1</f>
        <v>7</v>
      </c>
      <c r="AB65" s="336">
        <f>ROUND($B135/$B$2*AB$35,0)-1</f>
        <v>7</v>
      </c>
      <c r="AC65" s="477">
        <v>3</v>
      </c>
      <c r="AD65" s="92">
        <v>50</v>
      </c>
      <c r="AE65" s="92"/>
      <c r="AF65" s="7"/>
      <c r="AG65" s="18"/>
      <c r="AH65" s="18"/>
      <c r="AI65" s="18"/>
      <c r="AJ65" s="7"/>
      <c r="AK65" s="34"/>
    </row>
    <row r="66" spans="1:46" s="11" customFormat="1" ht="12" x14ac:dyDescent="0.2">
      <c r="A66" s="38" t="s">
        <v>197</v>
      </c>
      <c r="B66" s="65">
        <f>IF(SUM(B54,B56,B58,B60,B62,B64)=0,B49*2,SUM(B54,B56,B58,B60,B62,B64))</f>
        <v>16</v>
      </c>
      <c r="C66" s="65">
        <f t="shared" ref="C66:AC67" si="48">IF(SUM(C54,C56,C58,C60,C62,C64)=0,C49*2,SUM(C54,C56,C58,C60,C62,C64))</f>
        <v>16</v>
      </c>
      <c r="D66" s="65">
        <f t="shared" si="48"/>
        <v>16</v>
      </c>
      <c r="E66" s="65">
        <f t="shared" si="48"/>
        <v>16</v>
      </c>
      <c r="F66" s="65">
        <f t="shared" si="48"/>
        <v>16</v>
      </c>
      <c r="G66" s="65">
        <f t="shared" si="48"/>
        <v>16</v>
      </c>
      <c r="H66" s="65">
        <f t="shared" si="48"/>
        <v>29</v>
      </c>
      <c r="I66" s="65">
        <f t="shared" si="48"/>
        <v>29</v>
      </c>
      <c r="J66" s="65">
        <f t="shared" si="48"/>
        <v>29</v>
      </c>
      <c r="K66" s="65">
        <f t="shared" si="48"/>
        <v>46</v>
      </c>
      <c r="L66" s="65">
        <f t="shared" si="48"/>
        <v>46</v>
      </c>
      <c r="M66" s="65">
        <f t="shared" si="48"/>
        <v>46</v>
      </c>
      <c r="N66" s="65">
        <f t="shared" si="48"/>
        <v>57</v>
      </c>
      <c r="O66" s="65">
        <f t="shared" si="48"/>
        <v>57</v>
      </c>
      <c r="P66" s="65">
        <f t="shared" si="48"/>
        <v>57</v>
      </c>
      <c r="Q66" s="65">
        <f t="shared" si="48"/>
        <v>69</v>
      </c>
      <c r="R66" s="65">
        <f t="shared" si="48"/>
        <v>69</v>
      </c>
      <c r="S66" s="65">
        <f t="shared" si="48"/>
        <v>69</v>
      </c>
      <c r="T66" s="65">
        <f t="shared" si="48"/>
        <v>69</v>
      </c>
      <c r="U66" s="65">
        <f t="shared" si="48"/>
        <v>69</v>
      </c>
      <c r="V66" s="65">
        <f t="shared" si="48"/>
        <v>69</v>
      </c>
      <c r="W66" s="65">
        <f t="shared" si="48"/>
        <v>69</v>
      </c>
      <c r="X66" s="65">
        <f t="shared" si="48"/>
        <v>69</v>
      </c>
      <c r="Y66" s="65">
        <f t="shared" si="48"/>
        <v>57</v>
      </c>
      <c r="Z66" s="65">
        <f t="shared" si="48"/>
        <v>57</v>
      </c>
      <c r="AA66" s="65">
        <f t="shared" si="48"/>
        <v>57</v>
      </c>
      <c r="AB66" s="337">
        <f t="shared" si="48"/>
        <v>57</v>
      </c>
      <c r="AC66" s="65">
        <f t="shared" si="48"/>
        <v>16</v>
      </c>
      <c r="AD66" s="90">
        <v>51</v>
      </c>
      <c r="AE66" s="90"/>
      <c r="AF66" s="7"/>
      <c r="AG66" s="18"/>
      <c r="AH66" s="18"/>
      <c r="AI66" s="18"/>
      <c r="AJ66" s="7"/>
      <c r="AK66" s="87"/>
    </row>
    <row r="67" spans="1:46" s="11" customFormat="1" thickBot="1" x14ac:dyDescent="0.25">
      <c r="A67" s="476" t="s">
        <v>198</v>
      </c>
      <c r="B67" s="478">
        <f>IF(SUM(B55,B57,B59,B61,B63,B65)=0,B50*2,SUM(B55,B57,B59,B61,B63,B65))</f>
        <v>12</v>
      </c>
      <c r="C67" s="478">
        <f t="shared" si="48"/>
        <v>12</v>
      </c>
      <c r="D67" s="478">
        <f t="shared" si="48"/>
        <v>12</v>
      </c>
      <c r="E67" s="478">
        <f t="shared" si="48"/>
        <v>12</v>
      </c>
      <c r="F67" s="478">
        <f t="shared" si="48"/>
        <v>12</v>
      </c>
      <c r="G67" s="478">
        <f t="shared" si="48"/>
        <v>12</v>
      </c>
      <c r="H67" s="478">
        <f t="shared" si="48"/>
        <v>23</v>
      </c>
      <c r="I67" s="478">
        <f t="shared" si="48"/>
        <v>23</v>
      </c>
      <c r="J67" s="478">
        <f t="shared" si="48"/>
        <v>23</v>
      </c>
      <c r="K67" s="478">
        <f t="shared" si="48"/>
        <v>34</v>
      </c>
      <c r="L67" s="478">
        <f t="shared" si="48"/>
        <v>34</v>
      </c>
      <c r="M67" s="478">
        <f t="shared" si="48"/>
        <v>34</v>
      </c>
      <c r="N67" s="478">
        <f t="shared" si="48"/>
        <v>39</v>
      </c>
      <c r="O67" s="478">
        <f t="shared" si="48"/>
        <v>39</v>
      </c>
      <c r="P67" s="478">
        <f t="shared" si="48"/>
        <v>39</v>
      </c>
      <c r="Q67" s="478">
        <f t="shared" si="48"/>
        <v>45</v>
      </c>
      <c r="R67" s="478">
        <f t="shared" si="48"/>
        <v>45</v>
      </c>
      <c r="S67" s="478">
        <f t="shared" si="48"/>
        <v>45</v>
      </c>
      <c r="T67" s="478">
        <f t="shared" si="48"/>
        <v>45</v>
      </c>
      <c r="U67" s="478">
        <f t="shared" si="48"/>
        <v>45</v>
      </c>
      <c r="V67" s="478">
        <f t="shared" si="48"/>
        <v>45</v>
      </c>
      <c r="W67" s="478">
        <f t="shared" si="48"/>
        <v>45</v>
      </c>
      <c r="X67" s="478">
        <f t="shared" si="48"/>
        <v>45</v>
      </c>
      <c r="Y67" s="478">
        <f t="shared" si="48"/>
        <v>39</v>
      </c>
      <c r="Z67" s="478">
        <f t="shared" si="48"/>
        <v>39</v>
      </c>
      <c r="AA67" s="478">
        <f t="shared" si="48"/>
        <v>39</v>
      </c>
      <c r="AB67" s="338">
        <f t="shared" si="48"/>
        <v>39</v>
      </c>
      <c r="AC67" s="478">
        <f t="shared" si="48"/>
        <v>12</v>
      </c>
      <c r="AD67" s="92">
        <v>52</v>
      </c>
      <c r="AE67" s="92"/>
      <c r="AK67" s="34"/>
    </row>
    <row r="68" spans="1:46" s="11" customFormat="1" x14ac:dyDescent="0.2">
      <c r="A68" s="439" t="s">
        <v>199</v>
      </c>
      <c r="B68" s="479"/>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341"/>
      <c r="AD68" s="90">
        <v>53</v>
      </c>
      <c r="AE68" s="90"/>
      <c r="AK68" s="87"/>
    </row>
    <row r="69" spans="1:46" s="11" customFormat="1" ht="12" x14ac:dyDescent="0.2">
      <c r="A69" s="427" t="str">
        <f t="shared" ref="A69:A78" si="49">A105</f>
        <v>Pilot Upper Limit</v>
      </c>
      <c r="B69" s="212">
        <f t="shared" ref="B69:AC69" si="50">$B$105</f>
        <v>9</v>
      </c>
      <c r="C69" s="212">
        <f t="shared" si="50"/>
        <v>9</v>
      </c>
      <c r="D69" s="212">
        <f t="shared" si="50"/>
        <v>9</v>
      </c>
      <c r="E69" s="212">
        <f t="shared" si="50"/>
        <v>9</v>
      </c>
      <c r="F69" s="212">
        <f t="shared" si="50"/>
        <v>9</v>
      </c>
      <c r="G69" s="212">
        <f t="shared" si="50"/>
        <v>9</v>
      </c>
      <c r="H69" s="212">
        <f t="shared" si="50"/>
        <v>9</v>
      </c>
      <c r="I69" s="212">
        <f t="shared" si="50"/>
        <v>9</v>
      </c>
      <c r="J69" s="212">
        <f t="shared" si="50"/>
        <v>9</v>
      </c>
      <c r="K69" s="212">
        <f t="shared" si="50"/>
        <v>9</v>
      </c>
      <c r="L69" s="212">
        <f t="shared" si="50"/>
        <v>9</v>
      </c>
      <c r="M69" s="212">
        <f t="shared" si="50"/>
        <v>9</v>
      </c>
      <c r="N69" s="212">
        <f t="shared" si="50"/>
        <v>9</v>
      </c>
      <c r="O69" s="212">
        <f t="shared" si="50"/>
        <v>9</v>
      </c>
      <c r="P69" s="212">
        <f t="shared" si="50"/>
        <v>9</v>
      </c>
      <c r="Q69" s="212">
        <f t="shared" si="50"/>
        <v>9</v>
      </c>
      <c r="R69" s="212">
        <f t="shared" si="50"/>
        <v>9</v>
      </c>
      <c r="S69" s="212">
        <f t="shared" si="50"/>
        <v>9</v>
      </c>
      <c r="T69" s="212">
        <f t="shared" si="50"/>
        <v>9</v>
      </c>
      <c r="U69" s="212">
        <f t="shared" si="50"/>
        <v>9</v>
      </c>
      <c r="V69" s="212">
        <f t="shared" si="50"/>
        <v>9</v>
      </c>
      <c r="W69" s="212">
        <f t="shared" si="50"/>
        <v>9</v>
      </c>
      <c r="X69" s="212">
        <f t="shared" si="50"/>
        <v>9</v>
      </c>
      <c r="Y69" s="212">
        <f t="shared" si="50"/>
        <v>9</v>
      </c>
      <c r="Z69" s="212">
        <f t="shared" si="50"/>
        <v>9</v>
      </c>
      <c r="AA69" s="212">
        <f t="shared" si="50"/>
        <v>9</v>
      </c>
      <c r="AB69" s="339">
        <f t="shared" si="50"/>
        <v>9</v>
      </c>
      <c r="AC69" s="480">
        <f t="shared" si="50"/>
        <v>9</v>
      </c>
      <c r="AD69" s="92">
        <v>54</v>
      </c>
      <c r="AE69" s="92"/>
      <c r="AK69" s="87"/>
    </row>
    <row r="70" spans="1:46" s="11" customFormat="1" ht="12" x14ac:dyDescent="0.2">
      <c r="A70" s="427" t="str">
        <f t="shared" si="49"/>
        <v>Pilot Lower Limit</v>
      </c>
      <c r="B70" s="481">
        <f>IF(B$99&gt;=90,5,4)</f>
        <v>4</v>
      </c>
      <c r="C70" s="481">
        <f t="shared" ref="C70:AC70" si="51">IF(C$99&gt;=90,5,4)</f>
        <v>4</v>
      </c>
      <c r="D70" s="481">
        <f t="shared" si="51"/>
        <v>4</v>
      </c>
      <c r="E70" s="481">
        <f t="shared" si="51"/>
        <v>4</v>
      </c>
      <c r="F70" s="481">
        <f t="shared" si="51"/>
        <v>4</v>
      </c>
      <c r="G70" s="481">
        <f t="shared" si="51"/>
        <v>4</v>
      </c>
      <c r="H70" s="481">
        <f t="shared" si="51"/>
        <v>4</v>
      </c>
      <c r="I70" s="481">
        <f t="shared" si="51"/>
        <v>4</v>
      </c>
      <c r="J70" s="481">
        <f t="shared" si="51"/>
        <v>4</v>
      </c>
      <c r="K70" s="481">
        <f t="shared" si="51"/>
        <v>4</v>
      </c>
      <c r="L70" s="481">
        <f t="shared" si="51"/>
        <v>4</v>
      </c>
      <c r="M70" s="481">
        <f t="shared" si="51"/>
        <v>4</v>
      </c>
      <c r="N70" s="481">
        <f t="shared" si="51"/>
        <v>4</v>
      </c>
      <c r="O70" s="481">
        <f t="shared" si="51"/>
        <v>4</v>
      </c>
      <c r="P70" s="481">
        <f t="shared" si="51"/>
        <v>4</v>
      </c>
      <c r="Q70" s="481">
        <f t="shared" si="51"/>
        <v>4</v>
      </c>
      <c r="R70" s="481">
        <f t="shared" si="51"/>
        <v>5</v>
      </c>
      <c r="S70" s="481">
        <f t="shared" si="51"/>
        <v>5</v>
      </c>
      <c r="T70" s="481">
        <f t="shared" si="51"/>
        <v>5</v>
      </c>
      <c r="U70" s="481">
        <f t="shared" si="51"/>
        <v>5</v>
      </c>
      <c r="V70" s="481">
        <f t="shared" si="51"/>
        <v>5</v>
      </c>
      <c r="W70" s="481">
        <f t="shared" si="51"/>
        <v>5</v>
      </c>
      <c r="X70" s="481">
        <f t="shared" si="51"/>
        <v>5</v>
      </c>
      <c r="Y70" s="481">
        <f t="shared" si="51"/>
        <v>5</v>
      </c>
      <c r="Z70" s="481">
        <f t="shared" si="51"/>
        <v>4</v>
      </c>
      <c r="AA70" s="481">
        <f t="shared" si="51"/>
        <v>4</v>
      </c>
      <c r="AB70" s="479">
        <f t="shared" si="51"/>
        <v>4</v>
      </c>
      <c r="AC70" s="481">
        <f t="shared" si="51"/>
        <v>4</v>
      </c>
      <c r="AD70" s="90">
        <v>55</v>
      </c>
      <c r="AE70" s="90"/>
      <c r="AK70" s="87"/>
    </row>
    <row r="71" spans="1:46" s="11" customFormat="1" ht="12" x14ac:dyDescent="0.2">
      <c r="A71" s="427" t="str">
        <f t="shared" si="49"/>
        <v>NFO Upper Limit</v>
      </c>
      <c r="B71" s="482">
        <f t="shared" ref="B71:AC71" si="52">$B$107</f>
        <v>9</v>
      </c>
      <c r="C71" s="482">
        <f t="shared" si="52"/>
        <v>9</v>
      </c>
      <c r="D71" s="482">
        <f t="shared" si="52"/>
        <v>9</v>
      </c>
      <c r="E71" s="482">
        <f t="shared" si="52"/>
        <v>9</v>
      </c>
      <c r="F71" s="482">
        <f t="shared" si="52"/>
        <v>9</v>
      </c>
      <c r="G71" s="482">
        <f t="shared" si="52"/>
        <v>9</v>
      </c>
      <c r="H71" s="482">
        <f t="shared" si="52"/>
        <v>9</v>
      </c>
      <c r="I71" s="482">
        <f t="shared" si="52"/>
        <v>9</v>
      </c>
      <c r="J71" s="482">
        <f t="shared" si="52"/>
        <v>9</v>
      </c>
      <c r="K71" s="482">
        <f t="shared" si="52"/>
        <v>9</v>
      </c>
      <c r="L71" s="482">
        <f t="shared" si="52"/>
        <v>9</v>
      </c>
      <c r="M71" s="482">
        <f t="shared" si="52"/>
        <v>9</v>
      </c>
      <c r="N71" s="482">
        <f t="shared" si="52"/>
        <v>9</v>
      </c>
      <c r="O71" s="482">
        <f t="shared" si="52"/>
        <v>9</v>
      </c>
      <c r="P71" s="482">
        <f t="shared" si="52"/>
        <v>9</v>
      </c>
      <c r="Q71" s="482">
        <f t="shared" si="52"/>
        <v>9</v>
      </c>
      <c r="R71" s="482">
        <f t="shared" si="52"/>
        <v>9</v>
      </c>
      <c r="S71" s="482">
        <f t="shared" si="52"/>
        <v>9</v>
      </c>
      <c r="T71" s="482">
        <f t="shared" si="52"/>
        <v>9</v>
      </c>
      <c r="U71" s="482">
        <f t="shared" si="52"/>
        <v>9</v>
      </c>
      <c r="V71" s="482">
        <f t="shared" si="52"/>
        <v>9</v>
      </c>
      <c r="W71" s="482">
        <f t="shared" si="52"/>
        <v>9</v>
      </c>
      <c r="X71" s="482">
        <f t="shared" si="52"/>
        <v>9</v>
      </c>
      <c r="Y71" s="482">
        <f t="shared" si="52"/>
        <v>9</v>
      </c>
      <c r="Z71" s="482">
        <f t="shared" si="52"/>
        <v>9</v>
      </c>
      <c r="AA71" s="482">
        <f t="shared" si="52"/>
        <v>9</v>
      </c>
      <c r="AB71" s="483">
        <f t="shared" si="52"/>
        <v>9</v>
      </c>
      <c r="AC71" s="482">
        <f t="shared" si="52"/>
        <v>9</v>
      </c>
      <c r="AD71" s="92">
        <v>56</v>
      </c>
      <c r="AE71" s="92"/>
    </row>
    <row r="72" spans="1:46" s="11" customFormat="1" ht="12" x14ac:dyDescent="0.2">
      <c r="A72" s="427" t="str">
        <f t="shared" si="49"/>
        <v>NFO Lower Limit</v>
      </c>
      <c r="B72" s="481">
        <f>IF(B$99&gt;=90,5,4)</f>
        <v>4</v>
      </c>
      <c r="C72" s="481">
        <f t="shared" ref="C72:AC72" si="53">IF(C$99&gt;=90,5,4)</f>
        <v>4</v>
      </c>
      <c r="D72" s="481">
        <f t="shared" si="53"/>
        <v>4</v>
      </c>
      <c r="E72" s="481">
        <f t="shared" si="53"/>
        <v>4</v>
      </c>
      <c r="F72" s="481">
        <f t="shared" si="53"/>
        <v>4</v>
      </c>
      <c r="G72" s="481">
        <f t="shared" si="53"/>
        <v>4</v>
      </c>
      <c r="H72" s="481">
        <f t="shared" si="53"/>
        <v>4</v>
      </c>
      <c r="I72" s="481">
        <f t="shared" si="53"/>
        <v>4</v>
      </c>
      <c r="J72" s="481">
        <f t="shared" si="53"/>
        <v>4</v>
      </c>
      <c r="K72" s="481">
        <f t="shared" si="53"/>
        <v>4</v>
      </c>
      <c r="L72" s="481">
        <f t="shared" si="53"/>
        <v>4</v>
      </c>
      <c r="M72" s="481">
        <f t="shared" si="53"/>
        <v>4</v>
      </c>
      <c r="N72" s="481">
        <f t="shared" si="53"/>
        <v>4</v>
      </c>
      <c r="O72" s="481">
        <f t="shared" si="53"/>
        <v>4</v>
      </c>
      <c r="P72" s="481">
        <f t="shared" si="53"/>
        <v>4</v>
      </c>
      <c r="Q72" s="481">
        <f t="shared" si="53"/>
        <v>4</v>
      </c>
      <c r="R72" s="481">
        <f t="shared" si="53"/>
        <v>5</v>
      </c>
      <c r="S72" s="481">
        <f t="shared" si="53"/>
        <v>5</v>
      </c>
      <c r="T72" s="481">
        <f t="shared" si="53"/>
        <v>5</v>
      </c>
      <c r="U72" s="481">
        <f t="shared" si="53"/>
        <v>5</v>
      </c>
      <c r="V72" s="481">
        <f t="shared" si="53"/>
        <v>5</v>
      </c>
      <c r="W72" s="481">
        <f t="shared" si="53"/>
        <v>5</v>
      </c>
      <c r="X72" s="481">
        <f t="shared" si="53"/>
        <v>5</v>
      </c>
      <c r="Y72" s="481">
        <f t="shared" si="53"/>
        <v>5</v>
      </c>
      <c r="Z72" s="481">
        <f t="shared" si="53"/>
        <v>4</v>
      </c>
      <c r="AA72" s="481">
        <f t="shared" si="53"/>
        <v>4</v>
      </c>
      <c r="AB72" s="479">
        <f t="shared" si="53"/>
        <v>4</v>
      </c>
      <c r="AC72" s="481">
        <f t="shared" si="53"/>
        <v>4</v>
      </c>
      <c r="AD72" s="90">
        <v>57</v>
      </c>
      <c r="AE72" s="90"/>
      <c r="AK72" s="7"/>
    </row>
    <row r="73" spans="1:46" s="11" customFormat="1" ht="12" x14ac:dyDescent="0.2">
      <c r="A73" s="427" t="str">
        <f t="shared" si="49"/>
        <v>ACTC Level 5</v>
      </c>
      <c r="B73" s="481" t="s">
        <v>200</v>
      </c>
      <c r="C73" s="481" t="s">
        <v>200</v>
      </c>
      <c r="D73" s="481" t="s">
        <v>200</v>
      </c>
      <c r="E73" s="481" t="s">
        <v>200</v>
      </c>
      <c r="F73" s="481" t="s">
        <v>200</v>
      </c>
      <c r="G73" s="481" t="s">
        <v>200</v>
      </c>
      <c r="H73" s="481" t="s">
        <v>200</v>
      </c>
      <c r="I73" s="481" t="s">
        <v>200</v>
      </c>
      <c r="J73" s="481" t="s">
        <v>200</v>
      </c>
      <c r="K73" s="481" t="s">
        <v>200</v>
      </c>
      <c r="L73" s="481" t="s">
        <v>200</v>
      </c>
      <c r="M73" s="481" t="s">
        <v>200</v>
      </c>
      <c r="N73" s="481" t="s">
        <v>200</v>
      </c>
      <c r="O73" s="481" t="s">
        <v>200</v>
      </c>
      <c r="P73" s="481" t="s">
        <v>200</v>
      </c>
      <c r="Q73" s="481" t="s">
        <v>200</v>
      </c>
      <c r="R73" s="481" t="s">
        <v>200</v>
      </c>
      <c r="S73" s="481" t="s">
        <v>200</v>
      </c>
      <c r="T73" s="481" t="s">
        <v>200</v>
      </c>
      <c r="U73" s="481" t="s">
        <v>200</v>
      </c>
      <c r="V73" s="481" t="s">
        <v>200</v>
      </c>
      <c r="W73" s="481" t="s">
        <v>200</v>
      </c>
      <c r="X73" s="481" t="s">
        <v>200</v>
      </c>
      <c r="Y73" s="481" t="s">
        <v>200</v>
      </c>
      <c r="Z73" s="481" t="s">
        <v>200</v>
      </c>
      <c r="AA73" s="481" t="s">
        <v>200</v>
      </c>
      <c r="AB73" s="479" t="s">
        <v>200</v>
      </c>
      <c r="AC73" s="481" t="s">
        <v>200</v>
      </c>
      <c r="AD73" s="92">
        <v>58</v>
      </c>
      <c r="AE73" s="92"/>
      <c r="AK73" s="7"/>
    </row>
    <row r="74" spans="1:46" s="11" customFormat="1" ht="12" x14ac:dyDescent="0.2">
      <c r="A74" s="427" t="str">
        <f t="shared" si="49"/>
        <v>&gt;= ACTC Level 4</v>
      </c>
      <c r="B74" s="481">
        <f t="shared" ref="B74:AC74" si="54">ROUNDUP(IF(B$13="Deploy",MAX((B$99/100)*$B110,$B110),(B$99/100)*$B110),0)</f>
        <v>2</v>
      </c>
      <c r="C74" s="481">
        <f t="shared" si="54"/>
        <v>2</v>
      </c>
      <c r="D74" s="481">
        <f t="shared" si="54"/>
        <v>2</v>
      </c>
      <c r="E74" s="481">
        <f t="shared" si="54"/>
        <v>2</v>
      </c>
      <c r="F74" s="481">
        <f t="shared" si="54"/>
        <v>2</v>
      </c>
      <c r="G74" s="481">
        <f t="shared" si="54"/>
        <v>2</v>
      </c>
      <c r="H74" s="481">
        <f t="shared" si="54"/>
        <v>3</v>
      </c>
      <c r="I74" s="481">
        <f t="shared" si="54"/>
        <v>3</v>
      </c>
      <c r="J74" s="481">
        <f t="shared" si="54"/>
        <v>4</v>
      </c>
      <c r="K74" s="481">
        <f t="shared" si="54"/>
        <v>4</v>
      </c>
      <c r="L74" s="481">
        <f t="shared" si="54"/>
        <v>4</v>
      </c>
      <c r="M74" s="481">
        <f t="shared" si="54"/>
        <v>5</v>
      </c>
      <c r="N74" s="481">
        <f t="shared" si="54"/>
        <v>5</v>
      </c>
      <c r="O74" s="481">
        <f t="shared" si="54"/>
        <v>5</v>
      </c>
      <c r="P74" s="481">
        <f t="shared" si="54"/>
        <v>5</v>
      </c>
      <c r="Q74" s="481">
        <f t="shared" si="54"/>
        <v>5</v>
      </c>
      <c r="R74" s="481">
        <f t="shared" si="54"/>
        <v>5</v>
      </c>
      <c r="S74" s="481">
        <f t="shared" si="54"/>
        <v>5</v>
      </c>
      <c r="T74" s="481">
        <f t="shared" si="54"/>
        <v>5</v>
      </c>
      <c r="U74" s="481">
        <f t="shared" si="54"/>
        <v>5</v>
      </c>
      <c r="V74" s="481">
        <f t="shared" si="54"/>
        <v>5</v>
      </c>
      <c r="W74" s="481">
        <f t="shared" si="54"/>
        <v>5</v>
      </c>
      <c r="X74" s="481">
        <f t="shared" si="54"/>
        <v>5</v>
      </c>
      <c r="Y74" s="481">
        <f t="shared" si="54"/>
        <v>5</v>
      </c>
      <c r="Z74" s="481">
        <f t="shared" si="54"/>
        <v>5</v>
      </c>
      <c r="AA74" s="481">
        <f t="shared" si="54"/>
        <v>5</v>
      </c>
      <c r="AB74" s="479">
        <f t="shared" si="54"/>
        <v>5</v>
      </c>
      <c r="AC74" s="481">
        <f t="shared" si="54"/>
        <v>2</v>
      </c>
      <c r="AD74" s="90">
        <v>59</v>
      </c>
      <c r="AE74" s="90"/>
      <c r="AK74" s="7"/>
    </row>
    <row r="75" spans="1:46" s="11" customFormat="1" ht="12" x14ac:dyDescent="0.2">
      <c r="A75" s="427" t="str">
        <f t="shared" si="49"/>
        <v>&gt;= ACTC Level 3</v>
      </c>
      <c r="B75" s="481">
        <f t="shared" ref="B75:AC75" si="55">ROUNDUP(IF(B$13="Deploy",MAX((B$99/100)*$B111,$B111),(B$99/100)*$B111),0)</f>
        <v>4</v>
      </c>
      <c r="C75" s="481">
        <f t="shared" si="55"/>
        <v>4</v>
      </c>
      <c r="D75" s="481">
        <f t="shared" si="55"/>
        <v>4</v>
      </c>
      <c r="E75" s="481">
        <f t="shared" si="55"/>
        <v>4</v>
      </c>
      <c r="F75" s="481">
        <f t="shared" si="55"/>
        <v>4</v>
      </c>
      <c r="G75" s="481">
        <f t="shared" si="55"/>
        <v>4</v>
      </c>
      <c r="H75" s="481">
        <f t="shared" si="55"/>
        <v>5</v>
      </c>
      <c r="I75" s="481">
        <f t="shared" si="55"/>
        <v>5</v>
      </c>
      <c r="J75" s="481">
        <f t="shared" si="55"/>
        <v>6</v>
      </c>
      <c r="K75" s="481">
        <f t="shared" si="55"/>
        <v>6</v>
      </c>
      <c r="L75" s="481">
        <f t="shared" si="55"/>
        <v>7</v>
      </c>
      <c r="M75" s="481">
        <f t="shared" si="55"/>
        <v>8</v>
      </c>
      <c r="N75" s="481">
        <f t="shared" si="55"/>
        <v>8</v>
      </c>
      <c r="O75" s="481">
        <f t="shared" si="55"/>
        <v>8</v>
      </c>
      <c r="P75" s="481">
        <f t="shared" si="55"/>
        <v>8</v>
      </c>
      <c r="Q75" s="481">
        <f t="shared" si="55"/>
        <v>8</v>
      </c>
      <c r="R75" s="481">
        <f t="shared" si="55"/>
        <v>9</v>
      </c>
      <c r="S75" s="481">
        <f t="shared" si="55"/>
        <v>9</v>
      </c>
      <c r="T75" s="481">
        <f t="shared" si="55"/>
        <v>9</v>
      </c>
      <c r="U75" s="481">
        <f t="shared" si="55"/>
        <v>9</v>
      </c>
      <c r="V75" s="481">
        <f t="shared" si="55"/>
        <v>9</v>
      </c>
      <c r="W75" s="481">
        <f t="shared" si="55"/>
        <v>9</v>
      </c>
      <c r="X75" s="481">
        <f t="shared" si="55"/>
        <v>9</v>
      </c>
      <c r="Y75" s="481">
        <f t="shared" si="55"/>
        <v>9</v>
      </c>
      <c r="Z75" s="481">
        <f t="shared" si="55"/>
        <v>8</v>
      </c>
      <c r="AA75" s="481">
        <f t="shared" si="55"/>
        <v>8</v>
      </c>
      <c r="AB75" s="479">
        <f t="shared" si="55"/>
        <v>8</v>
      </c>
      <c r="AC75" s="481">
        <f t="shared" si="55"/>
        <v>4</v>
      </c>
      <c r="AD75" s="92">
        <v>60</v>
      </c>
      <c r="AE75" s="92"/>
      <c r="AK75" s="7"/>
    </row>
    <row r="76" spans="1:46" s="11" customFormat="1" x14ac:dyDescent="0.2">
      <c r="A76" s="427" t="str">
        <f t="shared" si="49"/>
        <v>&gt;= ACTC Level 2</v>
      </c>
      <c r="B76" s="481">
        <f t="shared" ref="B76:AC76" si="56">ROUNDUP(IF(B$13="Deploy",MAX((B$99/100)*$B112,$B112),(B$99/100)*$B112),0)</f>
        <v>6</v>
      </c>
      <c r="C76" s="481">
        <f t="shared" si="56"/>
        <v>6</v>
      </c>
      <c r="D76" s="481">
        <f t="shared" si="56"/>
        <v>6</v>
      </c>
      <c r="E76" s="481">
        <f t="shared" si="56"/>
        <v>6</v>
      </c>
      <c r="F76" s="481">
        <f t="shared" si="56"/>
        <v>6</v>
      </c>
      <c r="G76" s="481">
        <f t="shared" si="56"/>
        <v>6</v>
      </c>
      <c r="H76" s="481">
        <f t="shared" si="56"/>
        <v>7</v>
      </c>
      <c r="I76" s="481">
        <f t="shared" si="56"/>
        <v>8</v>
      </c>
      <c r="J76" s="481">
        <f t="shared" si="56"/>
        <v>9</v>
      </c>
      <c r="K76" s="481">
        <f t="shared" si="56"/>
        <v>9</v>
      </c>
      <c r="L76" s="481">
        <f t="shared" si="56"/>
        <v>11</v>
      </c>
      <c r="M76" s="481">
        <f t="shared" si="56"/>
        <v>12</v>
      </c>
      <c r="N76" s="481">
        <f t="shared" si="56"/>
        <v>12</v>
      </c>
      <c r="O76" s="481">
        <f t="shared" si="56"/>
        <v>12</v>
      </c>
      <c r="P76" s="481">
        <f t="shared" si="56"/>
        <v>12</v>
      </c>
      <c r="Q76" s="481">
        <f t="shared" si="56"/>
        <v>12</v>
      </c>
      <c r="R76" s="481">
        <f t="shared" si="56"/>
        <v>14</v>
      </c>
      <c r="S76" s="481">
        <f t="shared" si="56"/>
        <v>14</v>
      </c>
      <c r="T76" s="481">
        <f t="shared" si="56"/>
        <v>14</v>
      </c>
      <c r="U76" s="481">
        <f t="shared" si="56"/>
        <v>14</v>
      </c>
      <c r="V76" s="481">
        <f t="shared" si="56"/>
        <v>14</v>
      </c>
      <c r="W76" s="481">
        <f t="shared" si="56"/>
        <v>14</v>
      </c>
      <c r="X76" s="481">
        <f t="shared" si="56"/>
        <v>14</v>
      </c>
      <c r="Y76" s="481">
        <f t="shared" si="56"/>
        <v>13</v>
      </c>
      <c r="Z76" s="481">
        <f t="shared" si="56"/>
        <v>12</v>
      </c>
      <c r="AA76" s="481">
        <f t="shared" si="56"/>
        <v>12</v>
      </c>
      <c r="AB76" s="479">
        <f t="shared" si="56"/>
        <v>12</v>
      </c>
      <c r="AC76" s="481">
        <f t="shared" si="56"/>
        <v>6</v>
      </c>
      <c r="AD76" s="90">
        <v>61</v>
      </c>
      <c r="AE76" s="90"/>
      <c r="AG76" s="121"/>
      <c r="AH76" s="121"/>
      <c r="AI76" s="121"/>
    </row>
    <row r="77" spans="1:46" s="11" customFormat="1" x14ac:dyDescent="0.2">
      <c r="A77" s="427" t="str">
        <f t="shared" si="49"/>
        <v>CVW STK Lead</v>
      </c>
      <c r="B77" s="481">
        <f t="shared" ref="B77:AC77" si="57">ROUNDUP(IF(B$13="Deploy",MAX((B$99/100)*$B113,$B113),(B$99/100)*$B113),0)</f>
        <v>1</v>
      </c>
      <c r="C77" s="481">
        <f t="shared" si="57"/>
        <v>1</v>
      </c>
      <c r="D77" s="481">
        <f t="shared" si="57"/>
        <v>1</v>
      </c>
      <c r="E77" s="481">
        <f t="shared" si="57"/>
        <v>1</v>
      </c>
      <c r="F77" s="481">
        <f t="shared" si="57"/>
        <v>1</v>
      </c>
      <c r="G77" s="481">
        <f t="shared" si="57"/>
        <v>1</v>
      </c>
      <c r="H77" s="481">
        <f t="shared" si="57"/>
        <v>1</v>
      </c>
      <c r="I77" s="481">
        <f t="shared" si="57"/>
        <v>1</v>
      </c>
      <c r="J77" s="481">
        <f t="shared" si="57"/>
        <v>1</v>
      </c>
      <c r="K77" s="481">
        <f t="shared" si="57"/>
        <v>1</v>
      </c>
      <c r="L77" s="481">
        <f t="shared" si="57"/>
        <v>1</v>
      </c>
      <c r="M77" s="481">
        <f t="shared" si="57"/>
        <v>1</v>
      </c>
      <c r="N77" s="481">
        <f t="shared" si="57"/>
        <v>1</v>
      </c>
      <c r="O77" s="481">
        <f t="shared" si="57"/>
        <v>1</v>
      </c>
      <c r="P77" s="481">
        <f t="shared" si="57"/>
        <v>1</v>
      </c>
      <c r="Q77" s="481">
        <f t="shared" si="57"/>
        <v>1</v>
      </c>
      <c r="R77" s="481">
        <f t="shared" si="57"/>
        <v>1</v>
      </c>
      <c r="S77" s="481">
        <f t="shared" si="57"/>
        <v>1</v>
      </c>
      <c r="T77" s="481">
        <f t="shared" si="57"/>
        <v>1</v>
      </c>
      <c r="U77" s="481">
        <f t="shared" si="57"/>
        <v>1</v>
      </c>
      <c r="V77" s="481">
        <f t="shared" si="57"/>
        <v>1</v>
      </c>
      <c r="W77" s="481">
        <f t="shared" si="57"/>
        <v>1</v>
      </c>
      <c r="X77" s="481">
        <f t="shared" si="57"/>
        <v>1</v>
      </c>
      <c r="Y77" s="481">
        <f t="shared" si="57"/>
        <v>1</v>
      </c>
      <c r="Z77" s="481">
        <f t="shared" si="57"/>
        <v>1</v>
      </c>
      <c r="AA77" s="481">
        <f t="shared" si="57"/>
        <v>1</v>
      </c>
      <c r="AB77" s="479">
        <f t="shared" si="57"/>
        <v>1</v>
      </c>
      <c r="AC77" s="481">
        <f t="shared" si="57"/>
        <v>1</v>
      </c>
      <c r="AD77" s="92">
        <v>62</v>
      </c>
      <c r="AE77" s="92"/>
      <c r="AG77" s="121"/>
      <c r="AH77" s="121"/>
      <c r="AI77" s="121"/>
    </row>
    <row r="78" spans="1:46" s="263" customFormat="1" ht="12" x14ac:dyDescent="0.2">
      <c r="A78" s="427" t="str">
        <f t="shared" si="49"/>
        <v>NVD Qualified Aircrew</v>
      </c>
      <c r="B78" s="481">
        <f t="shared" ref="B78:AC78" si="58">ROUNDUP(IF(B$13="Deploy",MAX((B$99/100)*$B114,$B114),(B$99/100)*$B114),0)</f>
        <v>6</v>
      </c>
      <c r="C78" s="481">
        <f t="shared" si="58"/>
        <v>6</v>
      </c>
      <c r="D78" s="481">
        <f t="shared" si="58"/>
        <v>6</v>
      </c>
      <c r="E78" s="481">
        <f t="shared" si="58"/>
        <v>6</v>
      </c>
      <c r="F78" s="481">
        <f t="shared" si="58"/>
        <v>6</v>
      </c>
      <c r="G78" s="481">
        <f t="shared" si="58"/>
        <v>6</v>
      </c>
      <c r="H78" s="481">
        <f t="shared" si="58"/>
        <v>7</v>
      </c>
      <c r="I78" s="481">
        <f t="shared" si="58"/>
        <v>8</v>
      </c>
      <c r="J78" s="481">
        <f t="shared" si="58"/>
        <v>9</v>
      </c>
      <c r="K78" s="481">
        <f t="shared" si="58"/>
        <v>9</v>
      </c>
      <c r="L78" s="481">
        <f t="shared" si="58"/>
        <v>11</v>
      </c>
      <c r="M78" s="481">
        <f t="shared" si="58"/>
        <v>12</v>
      </c>
      <c r="N78" s="481">
        <f t="shared" si="58"/>
        <v>12</v>
      </c>
      <c r="O78" s="481">
        <f t="shared" si="58"/>
        <v>12</v>
      </c>
      <c r="P78" s="481">
        <f t="shared" si="58"/>
        <v>12</v>
      </c>
      <c r="Q78" s="481">
        <f t="shared" si="58"/>
        <v>12</v>
      </c>
      <c r="R78" s="481">
        <f t="shared" si="58"/>
        <v>14</v>
      </c>
      <c r="S78" s="481">
        <f t="shared" si="58"/>
        <v>14</v>
      </c>
      <c r="T78" s="481">
        <f t="shared" si="58"/>
        <v>14</v>
      </c>
      <c r="U78" s="481">
        <f t="shared" si="58"/>
        <v>14</v>
      </c>
      <c r="V78" s="481">
        <f t="shared" si="58"/>
        <v>14</v>
      </c>
      <c r="W78" s="481">
        <f t="shared" si="58"/>
        <v>14</v>
      </c>
      <c r="X78" s="481">
        <f t="shared" si="58"/>
        <v>14</v>
      </c>
      <c r="Y78" s="481">
        <f t="shared" si="58"/>
        <v>13</v>
      </c>
      <c r="Z78" s="481">
        <f t="shared" si="58"/>
        <v>12</v>
      </c>
      <c r="AA78" s="481">
        <f t="shared" si="58"/>
        <v>12</v>
      </c>
      <c r="AB78" s="479">
        <f t="shared" si="58"/>
        <v>12</v>
      </c>
      <c r="AC78" s="481">
        <f t="shared" si="58"/>
        <v>6</v>
      </c>
      <c r="AD78" s="90">
        <v>63</v>
      </c>
      <c r="AE78" s="90"/>
      <c r="AF78" s="274"/>
      <c r="AG78" s="274"/>
      <c r="AH78" s="274"/>
      <c r="AI78" s="274"/>
      <c r="AJ78" s="274"/>
      <c r="AK78" s="274"/>
      <c r="AL78" s="274"/>
      <c r="AM78" s="274"/>
      <c r="AN78" s="274"/>
      <c r="AO78" s="274"/>
      <c r="AP78" s="274"/>
      <c r="AQ78" s="274"/>
      <c r="AR78" s="274"/>
      <c r="AS78" s="274"/>
      <c r="AT78" s="274"/>
    </row>
    <row r="79" spans="1:46" s="278" customFormat="1" ht="12" x14ac:dyDescent="0.2">
      <c r="A79" s="427" t="s">
        <v>201</v>
      </c>
      <c r="B79" s="481">
        <f t="shared" ref="B79:AC79" si="59">ROUNDUP(IF(B$13="Deploy",MAX((B$99/100)*$B115,$B115),(B$99/100)*$B115),0)</f>
        <v>6</v>
      </c>
      <c r="C79" s="481">
        <f t="shared" si="59"/>
        <v>6</v>
      </c>
      <c r="D79" s="481">
        <f t="shared" si="59"/>
        <v>6</v>
      </c>
      <c r="E79" s="481">
        <f t="shared" si="59"/>
        <v>6</v>
      </c>
      <c r="F79" s="481">
        <f t="shared" si="59"/>
        <v>6</v>
      </c>
      <c r="G79" s="481">
        <f t="shared" si="59"/>
        <v>6</v>
      </c>
      <c r="H79" s="481">
        <f t="shared" si="59"/>
        <v>7</v>
      </c>
      <c r="I79" s="481">
        <f t="shared" si="59"/>
        <v>8</v>
      </c>
      <c r="J79" s="481">
        <f t="shared" si="59"/>
        <v>9</v>
      </c>
      <c r="K79" s="481">
        <f t="shared" si="59"/>
        <v>9</v>
      </c>
      <c r="L79" s="481">
        <f t="shared" si="59"/>
        <v>11</v>
      </c>
      <c r="M79" s="481">
        <f t="shared" si="59"/>
        <v>12</v>
      </c>
      <c r="N79" s="481">
        <f t="shared" si="59"/>
        <v>12</v>
      </c>
      <c r="O79" s="481">
        <f t="shared" si="59"/>
        <v>12</v>
      </c>
      <c r="P79" s="481">
        <f t="shared" si="59"/>
        <v>12</v>
      </c>
      <c r="Q79" s="481">
        <f t="shared" si="59"/>
        <v>12</v>
      </c>
      <c r="R79" s="481">
        <f t="shared" si="59"/>
        <v>14</v>
      </c>
      <c r="S79" s="481">
        <f t="shared" si="59"/>
        <v>14</v>
      </c>
      <c r="T79" s="481">
        <f t="shared" si="59"/>
        <v>14</v>
      </c>
      <c r="U79" s="481">
        <f t="shared" si="59"/>
        <v>14</v>
      </c>
      <c r="V79" s="481">
        <f t="shared" si="59"/>
        <v>14</v>
      </c>
      <c r="W79" s="481">
        <f t="shared" si="59"/>
        <v>14</v>
      </c>
      <c r="X79" s="481">
        <f t="shared" si="59"/>
        <v>14</v>
      </c>
      <c r="Y79" s="481">
        <f t="shared" si="59"/>
        <v>13</v>
      </c>
      <c r="Z79" s="481">
        <f t="shared" si="59"/>
        <v>12</v>
      </c>
      <c r="AA79" s="481">
        <f t="shared" si="59"/>
        <v>12</v>
      </c>
      <c r="AB79" s="479">
        <f t="shared" si="59"/>
        <v>12</v>
      </c>
      <c r="AC79" s="481">
        <f t="shared" si="59"/>
        <v>6</v>
      </c>
      <c r="AD79" s="92">
        <v>64</v>
      </c>
      <c r="AE79" s="92"/>
    </row>
    <row r="80" spans="1:46" s="263" customFormat="1" ht="12" x14ac:dyDescent="0.2">
      <c r="A80" s="427" t="str">
        <f t="shared" ref="A80" si="60">A116</f>
        <v>Required Skilled Crews</v>
      </c>
      <c r="B80" s="481">
        <f t="shared" ref="B80:AC80" si="61">ROUNDUP(IF(B$13="Deploy",MAX((B$99/100)*$B116,$B116),(B$99/100)*$B116),0)</f>
        <v>3</v>
      </c>
      <c r="C80" s="481">
        <f t="shared" si="61"/>
        <v>3</v>
      </c>
      <c r="D80" s="481">
        <f t="shared" si="61"/>
        <v>3</v>
      </c>
      <c r="E80" s="481">
        <f t="shared" si="61"/>
        <v>3</v>
      </c>
      <c r="F80" s="481">
        <f t="shared" si="61"/>
        <v>3</v>
      </c>
      <c r="G80" s="481">
        <f t="shared" si="61"/>
        <v>3</v>
      </c>
      <c r="H80" s="481">
        <f t="shared" si="61"/>
        <v>4</v>
      </c>
      <c r="I80" s="481">
        <f t="shared" si="61"/>
        <v>5</v>
      </c>
      <c r="J80" s="481">
        <f t="shared" si="61"/>
        <v>5</v>
      </c>
      <c r="K80" s="481">
        <f t="shared" si="61"/>
        <v>6</v>
      </c>
      <c r="L80" s="481">
        <f t="shared" si="61"/>
        <v>6</v>
      </c>
      <c r="M80" s="481">
        <f t="shared" si="61"/>
        <v>7</v>
      </c>
      <c r="N80" s="481">
        <f t="shared" si="61"/>
        <v>7</v>
      </c>
      <c r="O80" s="481">
        <f t="shared" si="61"/>
        <v>7</v>
      </c>
      <c r="P80" s="481">
        <f t="shared" si="61"/>
        <v>7</v>
      </c>
      <c r="Q80" s="481">
        <f t="shared" si="61"/>
        <v>7</v>
      </c>
      <c r="R80" s="481">
        <f t="shared" si="61"/>
        <v>8</v>
      </c>
      <c r="S80" s="481">
        <f t="shared" si="61"/>
        <v>8</v>
      </c>
      <c r="T80" s="481">
        <f t="shared" si="61"/>
        <v>8</v>
      </c>
      <c r="U80" s="481">
        <f t="shared" si="61"/>
        <v>8</v>
      </c>
      <c r="V80" s="481">
        <f t="shared" si="61"/>
        <v>8</v>
      </c>
      <c r="W80" s="481">
        <f t="shared" si="61"/>
        <v>8</v>
      </c>
      <c r="X80" s="481">
        <f t="shared" si="61"/>
        <v>8</v>
      </c>
      <c r="Y80" s="481">
        <f t="shared" si="61"/>
        <v>8</v>
      </c>
      <c r="Z80" s="481">
        <f t="shared" si="61"/>
        <v>7</v>
      </c>
      <c r="AA80" s="481">
        <f t="shared" si="61"/>
        <v>7</v>
      </c>
      <c r="AB80" s="479">
        <f t="shared" si="61"/>
        <v>7</v>
      </c>
      <c r="AC80" s="481">
        <f t="shared" si="61"/>
        <v>3</v>
      </c>
      <c r="AD80" s="90">
        <v>65</v>
      </c>
      <c r="AE80" s="90"/>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295"/>
      <c r="Z81" s="295"/>
      <c r="AA81" s="295"/>
      <c r="AB81" s="295"/>
      <c r="AC81" s="486"/>
      <c r="AD81" s="274"/>
      <c r="AE81" s="274"/>
      <c r="AF81" s="274"/>
      <c r="AG81" s="274"/>
      <c r="AH81" s="274"/>
      <c r="AI81" s="274"/>
      <c r="AJ81" s="274"/>
      <c r="AK81" s="274"/>
      <c r="AL81" s="274"/>
      <c r="AM81" s="274"/>
      <c r="AN81" s="274"/>
      <c r="AO81" s="274"/>
      <c r="AP81" s="274"/>
      <c r="AQ81" s="274"/>
      <c r="AR81" s="274"/>
      <c r="AS81" s="274"/>
      <c r="AT81" s="274"/>
    </row>
    <row r="82" spans="1:46" s="278" customFormat="1" ht="12" x14ac:dyDescent="0.2">
      <c r="A82" s="427" t="s">
        <v>203</v>
      </c>
      <c r="B82" s="296">
        <v>0.95</v>
      </c>
      <c r="C82" s="296">
        <v>0.95</v>
      </c>
      <c r="D82" s="296">
        <v>0.95</v>
      </c>
      <c r="E82" s="296">
        <v>0.95</v>
      </c>
      <c r="F82" s="296">
        <v>0.95</v>
      </c>
      <c r="G82" s="296">
        <v>0.95</v>
      </c>
      <c r="H82" s="296">
        <v>0.95</v>
      </c>
      <c r="I82" s="296">
        <v>0.95</v>
      </c>
      <c r="J82" s="296">
        <v>0.95</v>
      </c>
      <c r="K82" s="296">
        <v>0.95</v>
      </c>
      <c r="L82" s="296">
        <v>0.95</v>
      </c>
      <c r="M82" s="296">
        <v>0.95</v>
      </c>
      <c r="N82" s="296">
        <v>0.95</v>
      </c>
      <c r="O82" s="296">
        <v>0.95</v>
      </c>
      <c r="P82" s="296">
        <v>0.95</v>
      </c>
      <c r="Q82" s="296">
        <v>0.95</v>
      </c>
      <c r="R82" s="296">
        <v>0.95</v>
      </c>
      <c r="S82" s="296">
        <v>0.95</v>
      </c>
      <c r="T82" s="296">
        <v>0.95</v>
      </c>
      <c r="U82" s="296">
        <v>0.95</v>
      </c>
      <c r="V82" s="296">
        <v>0.95</v>
      </c>
      <c r="W82" s="296">
        <v>0.95</v>
      </c>
      <c r="X82" s="296">
        <v>0.95</v>
      </c>
      <c r="Y82" s="296">
        <v>0.95</v>
      </c>
      <c r="Z82" s="296">
        <v>0.95</v>
      </c>
      <c r="AA82" s="296">
        <v>0.95</v>
      </c>
      <c r="AB82" s="331">
        <v>0.95</v>
      </c>
      <c r="AC82" s="296">
        <v>0.95</v>
      </c>
    </row>
    <row r="83" spans="1:46" s="11" customFormat="1" x14ac:dyDescent="0.2">
      <c r="A83" s="427" t="s">
        <v>204</v>
      </c>
      <c r="B83" s="487">
        <v>0.92</v>
      </c>
      <c r="C83" s="487">
        <v>0.92</v>
      </c>
      <c r="D83" s="487">
        <v>0.92</v>
      </c>
      <c r="E83" s="487">
        <v>0.92</v>
      </c>
      <c r="F83" s="487">
        <v>0.92</v>
      </c>
      <c r="G83" s="487">
        <v>0.92</v>
      </c>
      <c r="H83" s="487">
        <v>0.92</v>
      </c>
      <c r="I83" s="487">
        <v>0.92</v>
      </c>
      <c r="J83" s="487">
        <v>0.92</v>
      </c>
      <c r="K83" s="487">
        <v>0.92</v>
      </c>
      <c r="L83" s="487">
        <v>0.92</v>
      </c>
      <c r="M83" s="487">
        <v>0.92</v>
      </c>
      <c r="N83" s="487">
        <v>0.92</v>
      </c>
      <c r="O83" s="487">
        <v>0.92</v>
      </c>
      <c r="P83" s="487">
        <v>0.92</v>
      </c>
      <c r="Q83" s="487">
        <v>0.92</v>
      </c>
      <c r="R83" s="487">
        <v>0.92</v>
      </c>
      <c r="S83" s="487">
        <v>0.92</v>
      </c>
      <c r="T83" s="487">
        <v>0.92</v>
      </c>
      <c r="U83" s="487">
        <v>0.92</v>
      </c>
      <c r="V83" s="487">
        <v>0.92</v>
      </c>
      <c r="W83" s="487">
        <v>0.92</v>
      </c>
      <c r="X83" s="487">
        <v>0.92</v>
      </c>
      <c r="Y83" s="487">
        <v>0.92</v>
      </c>
      <c r="Z83" s="487">
        <v>0.92</v>
      </c>
      <c r="AA83" s="487">
        <v>0.92</v>
      </c>
      <c r="AB83" s="488">
        <v>0.92</v>
      </c>
      <c r="AC83" s="487">
        <v>0.92</v>
      </c>
      <c r="AD83" s="274"/>
      <c r="AE83" s="274"/>
      <c r="AF83" s="121"/>
      <c r="AJ83" s="121"/>
    </row>
    <row r="84" spans="1:46" s="11" customFormat="1"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7">
        <v>0.75</v>
      </c>
      <c r="Y84" s="487">
        <v>0.75</v>
      </c>
      <c r="Z84" s="487">
        <v>0.75</v>
      </c>
      <c r="AA84" s="487">
        <v>0.75</v>
      </c>
      <c r="AB84" s="488">
        <v>0.75</v>
      </c>
      <c r="AC84" s="487">
        <v>0.75</v>
      </c>
      <c r="AD84" s="274"/>
      <c r="AE84" s="274"/>
      <c r="AF84" s="85"/>
      <c r="AG84" s="99"/>
      <c r="AH84" s="99"/>
      <c r="AI84" s="99"/>
      <c r="AJ84" s="85"/>
    </row>
    <row r="85" spans="1:46" s="11" customFormat="1" x14ac:dyDescent="0.2">
      <c r="A85" s="72"/>
      <c r="B85" s="72"/>
      <c r="C85" s="72"/>
      <c r="D85" s="72"/>
      <c r="E85" s="72"/>
      <c r="F85" s="72"/>
      <c r="G85" s="72"/>
      <c r="H85" s="72"/>
      <c r="I85" s="72"/>
      <c r="J85" s="72"/>
      <c r="L85" s="72"/>
      <c r="M85" s="72"/>
      <c r="N85" s="72"/>
      <c r="O85" s="72"/>
      <c r="P85" s="72"/>
      <c r="Q85" s="72"/>
      <c r="R85" s="72"/>
      <c r="S85" s="72"/>
      <c r="T85" s="72"/>
      <c r="U85" s="72"/>
      <c r="V85" s="72"/>
      <c r="W85" s="72"/>
      <c r="X85" s="72"/>
      <c r="Y85" s="72"/>
      <c r="Z85" s="72"/>
      <c r="AA85" s="72"/>
      <c r="AB85" s="72"/>
      <c r="AC85" s="72"/>
      <c r="AD85" s="92"/>
      <c r="AE85" s="92"/>
      <c r="AF85" s="85"/>
      <c r="AG85" s="7"/>
      <c r="AH85" s="7"/>
      <c r="AI85" s="7"/>
      <c r="AJ85" s="85"/>
    </row>
    <row r="86" spans="1:46" s="11" customFormat="1" x14ac:dyDescent="0.2">
      <c r="A86" s="113" t="s">
        <v>206</v>
      </c>
      <c r="B86" s="34"/>
      <c r="C86" s="34"/>
      <c r="D86" s="111"/>
      <c r="E86" s="112" t="s">
        <v>207</v>
      </c>
      <c r="F86" s="111"/>
      <c r="G86" s="111"/>
      <c r="H86" s="113"/>
      <c r="I86" s="114"/>
      <c r="J86" s="114"/>
      <c r="L86" s="91"/>
      <c r="M86" s="115"/>
      <c r="N86" s="87"/>
      <c r="O86" s="87"/>
      <c r="P86" s="87"/>
      <c r="Q86" s="91"/>
      <c r="R86" s="7"/>
      <c r="S86" s="91"/>
      <c r="T86" s="111"/>
      <c r="U86" s="72"/>
      <c r="V86" s="111"/>
      <c r="W86" s="111"/>
      <c r="X86" s="111"/>
      <c r="Y86" s="111"/>
      <c r="Z86" s="111"/>
      <c r="AA86" s="111"/>
      <c r="AB86" s="111"/>
      <c r="AC86" s="111"/>
      <c r="AD86" s="90"/>
      <c r="AE86" s="90"/>
      <c r="AF86" s="7"/>
      <c r="AG86" s="7"/>
      <c r="AH86" s="7"/>
      <c r="AI86" s="7"/>
      <c r="AJ86" s="7"/>
    </row>
    <row r="87" spans="1:46" s="11" customFormat="1" x14ac:dyDescent="0.2">
      <c r="A87" s="120" t="s">
        <v>208</v>
      </c>
      <c r="B87" s="34"/>
      <c r="C87" s="34"/>
      <c r="D87" s="111"/>
      <c r="E87" s="100" t="s">
        <v>209</v>
      </c>
      <c r="F87" s="111"/>
      <c r="G87" s="96" t="s">
        <v>210</v>
      </c>
      <c r="H87" s="116"/>
      <c r="I87" s="117"/>
      <c r="J87" s="114"/>
      <c r="L87" s="91"/>
      <c r="M87" s="116"/>
      <c r="N87" s="117"/>
      <c r="O87" s="87"/>
      <c r="P87" s="87"/>
      <c r="Q87" s="91"/>
      <c r="R87" s="85"/>
      <c r="S87" s="72"/>
      <c r="T87" s="85"/>
      <c r="U87" s="72"/>
      <c r="V87" s="111"/>
      <c r="W87" s="111"/>
      <c r="X87" s="111"/>
      <c r="Y87" s="111"/>
      <c r="Z87" s="111"/>
      <c r="AA87" s="111"/>
      <c r="AB87" s="111"/>
      <c r="AC87" s="111"/>
      <c r="AD87" s="85"/>
      <c r="AE87" s="85"/>
      <c r="AF87" s="99"/>
      <c r="AG87" s="7"/>
      <c r="AH87" s="7"/>
      <c r="AI87" s="7"/>
      <c r="AJ87" s="99"/>
    </row>
    <row r="88" spans="1:46" s="11" customFormat="1" x14ac:dyDescent="0.2">
      <c r="A88" s="111"/>
      <c r="B88" s="37"/>
      <c r="C88" s="111"/>
      <c r="D88" s="111"/>
      <c r="E88" s="100" t="s">
        <v>211</v>
      </c>
      <c r="F88" s="111"/>
      <c r="G88" s="118" t="s">
        <v>212</v>
      </c>
      <c r="H88" s="109"/>
      <c r="I88" s="117"/>
      <c r="J88" s="114"/>
      <c r="L88" s="91"/>
      <c r="M88" s="109"/>
      <c r="N88" s="117"/>
      <c r="O88" s="114"/>
      <c r="P88" s="87"/>
      <c r="Q88" s="91"/>
      <c r="R88" s="85"/>
      <c r="S88" s="72"/>
      <c r="T88" s="85"/>
      <c r="U88" s="72"/>
      <c r="V88" s="111"/>
      <c r="W88" s="111"/>
      <c r="X88" s="111"/>
      <c r="Y88" s="111"/>
      <c r="Z88" s="111"/>
      <c r="AA88" s="111"/>
      <c r="AB88" s="111"/>
      <c r="AC88" s="111"/>
      <c r="AD88" s="85"/>
      <c r="AE88" s="85"/>
      <c r="AF88" s="7"/>
      <c r="AG88" s="7"/>
      <c r="AH88" s="7"/>
      <c r="AI88" s="7"/>
      <c r="AJ88" s="7"/>
    </row>
    <row r="89" spans="1:46" s="11" customFormat="1" x14ac:dyDescent="0.2">
      <c r="A89" s="85"/>
      <c r="B89" s="111"/>
      <c r="C89" s="111"/>
      <c r="D89" s="111"/>
      <c r="E89" s="100" t="s">
        <v>213</v>
      </c>
      <c r="F89" s="111"/>
      <c r="G89" s="119" t="s">
        <v>214</v>
      </c>
      <c r="H89" s="34"/>
      <c r="I89" s="87"/>
      <c r="J89" s="87"/>
      <c r="L89" s="87"/>
      <c r="M89" s="34"/>
      <c r="N89" s="87"/>
      <c r="O89" s="87"/>
      <c r="P89" s="87"/>
      <c r="Q89" s="87"/>
      <c r="R89" s="85"/>
      <c r="S89" s="72"/>
      <c r="T89" s="85"/>
      <c r="U89" s="72"/>
      <c r="V89" s="111"/>
      <c r="W89" s="111"/>
      <c r="X89" s="111"/>
      <c r="Y89" s="111"/>
      <c r="Z89" s="111"/>
      <c r="AA89" s="111"/>
      <c r="AB89" s="111"/>
      <c r="AC89" s="111"/>
      <c r="AD89" s="85"/>
      <c r="AE89" s="85"/>
      <c r="AF89" s="7"/>
      <c r="AG89" s="7"/>
      <c r="AH89" s="7"/>
      <c r="AI89" s="7"/>
      <c r="AJ89" s="7"/>
    </row>
    <row r="90" spans="1:46" s="11" customFormat="1" x14ac:dyDescent="0.2">
      <c r="A90" s="85"/>
      <c r="B90" s="111"/>
      <c r="C90" s="111"/>
      <c r="D90" s="111"/>
      <c r="E90" s="100" t="s">
        <v>215</v>
      </c>
      <c r="F90" s="111"/>
      <c r="G90" s="119" t="s">
        <v>216</v>
      </c>
      <c r="H90" s="34"/>
      <c r="I90" s="87"/>
      <c r="J90" s="87"/>
      <c r="L90" s="87"/>
      <c r="M90" s="34"/>
      <c r="N90" s="87"/>
      <c r="O90" s="87"/>
      <c r="P90" s="87"/>
      <c r="Q90" s="87"/>
      <c r="R90" s="85"/>
      <c r="S90" s="72"/>
      <c r="T90" s="85"/>
      <c r="U90" s="72"/>
      <c r="V90" s="111"/>
      <c r="W90" s="111"/>
      <c r="X90" s="111"/>
      <c r="Y90" s="111"/>
      <c r="Z90" s="111"/>
      <c r="AA90" s="111"/>
      <c r="AB90" s="111"/>
      <c r="AC90" s="111"/>
      <c r="AD90" s="85"/>
      <c r="AE90" s="85"/>
      <c r="AF90" s="7"/>
      <c r="AG90" s="7"/>
      <c r="AH90" s="7"/>
      <c r="AI90" s="7"/>
      <c r="AJ90" s="7"/>
    </row>
    <row r="91" spans="1:46" s="11" customFormat="1" x14ac:dyDescent="0.2">
      <c r="A91" s="86"/>
      <c r="B91" s="121"/>
      <c r="C91" s="121"/>
      <c r="D91" s="121"/>
      <c r="E91" s="121"/>
      <c r="F91" s="121"/>
      <c r="G91" s="121"/>
      <c r="H91" s="41"/>
      <c r="I91" s="86"/>
      <c r="J91" s="86"/>
      <c r="L91" s="86"/>
      <c r="M91" s="41"/>
      <c r="N91" s="86"/>
      <c r="O91" s="86"/>
      <c r="P91" s="86"/>
      <c r="Q91" s="86"/>
      <c r="R91" s="41"/>
      <c r="S91" s="86"/>
      <c r="T91" s="86"/>
      <c r="U91" s="121"/>
      <c r="V91" s="121"/>
      <c r="W91" s="121"/>
      <c r="X91" s="121"/>
      <c r="Y91" s="121"/>
      <c r="Z91" s="121"/>
      <c r="AA91" s="121"/>
      <c r="AB91" s="121"/>
      <c r="AC91" s="121"/>
      <c r="AD91" s="85"/>
      <c r="AE91" s="85"/>
      <c r="AF91" s="7"/>
      <c r="AG91" s="7"/>
      <c r="AH91" s="7"/>
      <c r="AI91" s="7"/>
      <c r="AJ91" s="7"/>
    </row>
    <row r="92" spans="1:46" s="11" customFormat="1" ht="13.5" thickBot="1" x14ac:dyDescent="0.25">
      <c r="A92" s="7"/>
      <c r="B92" s="122"/>
      <c r="C92" s="3"/>
      <c r="D92" s="7"/>
      <c r="E92" s="7"/>
      <c r="F92" s="7"/>
      <c r="G92" s="7"/>
      <c r="H92" s="7"/>
      <c r="I92" s="7"/>
      <c r="J92" s="7"/>
      <c r="K92" s="7"/>
      <c r="L92" s="7"/>
      <c r="M92" s="7"/>
      <c r="N92" s="7"/>
      <c r="O92" s="7"/>
      <c r="P92" s="7"/>
      <c r="Q92" s="7"/>
      <c r="R92" s="7"/>
      <c r="S92" s="7"/>
      <c r="T92" s="7"/>
      <c r="U92" s="7"/>
      <c r="V92" s="7"/>
      <c r="W92" s="7"/>
      <c r="X92" s="7"/>
      <c r="Y92" s="7"/>
      <c r="Z92" s="7"/>
      <c r="AA92" s="7"/>
      <c r="AB92" s="7"/>
      <c r="AC92" s="7"/>
      <c r="AD92" s="85"/>
      <c r="AE92" s="85"/>
      <c r="AF92" s="7"/>
      <c r="AG92" s="7"/>
      <c r="AH92" s="7"/>
      <c r="AI92" s="7"/>
      <c r="AJ92" s="7"/>
      <c r="AK92" s="121"/>
    </row>
    <row r="93" spans="1:46" ht="13.5" thickBot="1" x14ac:dyDescent="0.25">
      <c r="A93" s="640" t="s">
        <v>217</v>
      </c>
      <c r="B93" s="641"/>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1"/>
      <c r="AA93" s="641"/>
      <c r="AB93" s="641"/>
      <c r="AC93" s="642"/>
      <c r="AK93" s="85"/>
    </row>
    <row r="94" spans="1:46" x14ac:dyDescent="0.2">
      <c r="A94" s="52" t="s">
        <v>218</v>
      </c>
      <c r="B94" s="53">
        <f t="shared" ref="B94:AC94" si="62">MIN(100,B96+$B$100)</f>
        <v>45.901136923127005</v>
      </c>
      <c r="C94" s="53">
        <f t="shared" si="62"/>
        <v>45.901136923127005</v>
      </c>
      <c r="D94" s="53">
        <f t="shared" si="62"/>
        <v>45.901136923127005</v>
      </c>
      <c r="E94" s="53">
        <f t="shared" si="62"/>
        <v>45.901136923127005</v>
      </c>
      <c r="F94" s="53">
        <f t="shared" si="62"/>
        <v>45.901136923127005</v>
      </c>
      <c r="G94" s="53">
        <f t="shared" si="62"/>
        <v>53.901136923127005</v>
      </c>
      <c r="H94" s="53">
        <f t="shared" si="62"/>
        <v>55.901136923127005</v>
      </c>
      <c r="I94" s="53">
        <f t="shared" si="62"/>
        <v>55.901136923127005</v>
      </c>
      <c r="J94" s="53">
        <f t="shared" si="62"/>
        <v>65.901136923127012</v>
      </c>
      <c r="K94" s="53">
        <f t="shared" si="62"/>
        <v>90.901136923127012</v>
      </c>
      <c r="L94" s="53">
        <f t="shared" si="62"/>
        <v>100</v>
      </c>
      <c r="M94" s="53">
        <f t="shared" si="62"/>
        <v>100</v>
      </c>
      <c r="N94" s="53">
        <f t="shared" si="62"/>
        <v>100</v>
      </c>
      <c r="O94" s="53">
        <f t="shared" si="62"/>
        <v>100</v>
      </c>
      <c r="P94" s="53">
        <f t="shared" si="62"/>
        <v>100</v>
      </c>
      <c r="Q94" s="53">
        <f t="shared" si="62"/>
        <v>100</v>
      </c>
      <c r="R94" s="53">
        <f t="shared" si="62"/>
        <v>100</v>
      </c>
      <c r="S94" s="53">
        <f t="shared" si="62"/>
        <v>100</v>
      </c>
      <c r="T94" s="53">
        <f t="shared" si="62"/>
        <v>100</v>
      </c>
      <c r="U94" s="53">
        <f t="shared" si="62"/>
        <v>100</v>
      </c>
      <c r="V94" s="53">
        <f t="shared" si="62"/>
        <v>100</v>
      </c>
      <c r="W94" s="53">
        <f t="shared" si="62"/>
        <v>100</v>
      </c>
      <c r="X94" s="53">
        <f t="shared" si="62"/>
        <v>100</v>
      </c>
      <c r="Y94" s="53">
        <f t="shared" si="62"/>
        <v>100</v>
      </c>
      <c r="Z94" s="53">
        <f t="shared" si="62"/>
        <v>100</v>
      </c>
      <c r="AA94" s="53">
        <f t="shared" si="62"/>
        <v>100</v>
      </c>
      <c r="AB94" s="54">
        <f t="shared" si="62"/>
        <v>100</v>
      </c>
      <c r="AC94" s="55">
        <f t="shared" si="62"/>
        <v>45.901136923127005</v>
      </c>
      <c r="AG94" s="99"/>
      <c r="AH94" s="99"/>
      <c r="AI94" s="99"/>
      <c r="AK94" s="85"/>
    </row>
    <row r="95" spans="1:46" s="85" customFormat="1" x14ac:dyDescent="0.2">
      <c r="A95" s="489" t="s">
        <v>219</v>
      </c>
      <c r="B95" s="490">
        <f t="shared" ref="B95:AC95" si="63">MIN(100,B96+$B$101)</f>
        <v>27.950568461563503</v>
      </c>
      <c r="C95" s="490">
        <f t="shared" si="63"/>
        <v>27.950568461563503</v>
      </c>
      <c r="D95" s="490">
        <f t="shared" si="63"/>
        <v>27.950568461563503</v>
      </c>
      <c r="E95" s="490">
        <f t="shared" si="63"/>
        <v>27.950568461563503</v>
      </c>
      <c r="F95" s="490">
        <f t="shared" si="63"/>
        <v>27.950568461563503</v>
      </c>
      <c r="G95" s="490">
        <f t="shared" si="63"/>
        <v>35.950568461563506</v>
      </c>
      <c r="H95" s="490">
        <f t="shared" si="63"/>
        <v>37.950568461563506</v>
      </c>
      <c r="I95" s="490">
        <f t="shared" si="63"/>
        <v>37.950568461563506</v>
      </c>
      <c r="J95" s="490">
        <f t="shared" si="63"/>
        <v>47.950568461563506</v>
      </c>
      <c r="K95" s="490">
        <f t="shared" si="63"/>
        <v>72.950568461563506</v>
      </c>
      <c r="L95" s="490">
        <f t="shared" si="63"/>
        <v>97.950568461563506</v>
      </c>
      <c r="M95" s="490">
        <f t="shared" si="63"/>
        <v>100</v>
      </c>
      <c r="N95" s="490">
        <f t="shared" si="63"/>
        <v>100</v>
      </c>
      <c r="O95" s="490">
        <f t="shared" si="63"/>
        <v>100</v>
      </c>
      <c r="P95" s="490">
        <f t="shared" si="63"/>
        <v>100</v>
      </c>
      <c r="Q95" s="490">
        <f t="shared" si="63"/>
        <v>100</v>
      </c>
      <c r="R95" s="490">
        <f t="shared" si="63"/>
        <v>100</v>
      </c>
      <c r="S95" s="490">
        <f t="shared" si="63"/>
        <v>100</v>
      </c>
      <c r="T95" s="490">
        <f t="shared" si="63"/>
        <v>100</v>
      </c>
      <c r="U95" s="490">
        <f t="shared" si="63"/>
        <v>100</v>
      </c>
      <c r="V95" s="490">
        <f t="shared" si="63"/>
        <v>100</v>
      </c>
      <c r="W95" s="490">
        <f t="shared" si="63"/>
        <v>100</v>
      </c>
      <c r="X95" s="490">
        <f t="shared" si="63"/>
        <v>100</v>
      </c>
      <c r="Y95" s="490">
        <f t="shared" si="63"/>
        <v>100</v>
      </c>
      <c r="Z95" s="490">
        <f t="shared" si="63"/>
        <v>100</v>
      </c>
      <c r="AA95" s="490">
        <f t="shared" si="63"/>
        <v>100</v>
      </c>
      <c r="AB95" s="491">
        <f t="shared" si="63"/>
        <v>98.950568461563506</v>
      </c>
      <c r="AC95" s="492">
        <f t="shared" si="63"/>
        <v>27.950568461563503</v>
      </c>
      <c r="AF95" s="7"/>
      <c r="AG95" s="99"/>
      <c r="AH95" s="99"/>
      <c r="AI95" s="99"/>
      <c r="AJ95" s="7"/>
      <c r="AK95" s="7"/>
    </row>
    <row r="96" spans="1:46" s="85" customFormat="1" x14ac:dyDescent="0.2">
      <c r="A96" s="489" t="s">
        <v>220</v>
      </c>
      <c r="B96" s="493">
        <v>10</v>
      </c>
      <c r="C96" s="493">
        <v>10</v>
      </c>
      <c r="D96" s="493">
        <v>10</v>
      </c>
      <c r="E96" s="493">
        <v>10</v>
      </c>
      <c r="F96" s="493">
        <v>10</v>
      </c>
      <c r="G96" s="493">
        <v>18</v>
      </c>
      <c r="H96" s="493">
        <v>20</v>
      </c>
      <c r="I96" s="493">
        <v>20</v>
      </c>
      <c r="J96" s="493">
        <v>30</v>
      </c>
      <c r="K96" s="493">
        <v>55</v>
      </c>
      <c r="L96" s="493">
        <v>80</v>
      </c>
      <c r="M96" s="493">
        <v>85</v>
      </c>
      <c r="N96" s="493">
        <v>85</v>
      </c>
      <c r="O96" s="493">
        <v>85</v>
      </c>
      <c r="P96" s="493">
        <v>85</v>
      </c>
      <c r="Q96" s="493">
        <v>85</v>
      </c>
      <c r="R96" s="493">
        <v>100</v>
      </c>
      <c r="S96" s="493">
        <v>100</v>
      </c>
      <c r="T96" s="493">
        <v>100</v>
      </c>
      <c r="U96" s="493">
        <v>100</v>
      </c>
      <c r="V96" s="493">
        <v>100</v>
      </c>
      <c r="W96" s="493">
        <v>100</v>
      </c>
      <c r="X96" s="493">
        <v>94</v>
      </c>
      <c r="Y96" s="493">
        <v>91</v>
      </c>
      <c r="Z96" s="493">
        <v>85</v>
      </c>
      <c r="AA96" s="493">
        <v>84</v>
      </c>
      <c r="AB96" s="494">
        <v>81</v>
      </c>
      <c r="AC96" s="495">
        <v>10</v>
      </c>
      <c r="AF96" s="7"/>
      <c r="AG96" s="7"/>
      <c r="AH96" s="7"/>
      <c r="AI96" s="7"/>
      <c r="AJ96" s="7"/>
      <c r="AK96" s="99"/>
    </row>
    <row r="97" spans="1:37" s="85" customFormat="1" x14ac:dyDescent="0.2">
      <c r="A97" s="489" t="s">
        <v>221</v>
      </c>
      <c r="B97" s="490">
        <f t="shared" ref="B97:AC97" si="64">MIN(80,IF(B13="Deploy",80,MAX(0,B96-$B$101)))</f>
        <v>0</v>
      </c>
      <c r="C97" s="490">
        <f t="shared" si="64"/>
        <v>0</v>
      </c>
      <c r="D97" s="490">
        <f t="shared" si="64"/>
        <v>0</v>
      </c>
      <c r="E97" s="490">
        <f t="shared" si="64"/>
        <v>0</v>
      </c>
      <c r="F97" s="490">
        <f t="shared" si="64"/>
        <v>0</v>
      </c>
      <c r="G97" s="490">
        <f t="shared" si="64"/>
        <v>4.9431538436497391E-2</v>
      </c>
      <c r="H97" s="490">
        <f t="shared" si="64"/>
        <v>2.0494315384364974</v>
      </c>
      <c r="I97" s="490">
        <f t="shared" si="64"/>
        <v>2.0494315384364974</v>
      </c>
      <c r="J97" s="490">
        <f t="shared" si="64"/>
        <v>12.049431538436497</v>
      </c>
      <c r="K97" s="490">
        <f t="shared" si="64"/>
        <v>37.049431538436494</v>
      </c>
      <c r="L97" s="490">
        <f t="shared" si="64"/>
        <v>62.049431538436494</v>
      </c>
      <c r="M97" s="490">
        <f t="shared" si="64"/>
        <v>67.049431538436494</v>
      </c>
      <c r="N97" s="490">
        <f t="shared" si="64"/>
        <v>67.049431538436494</v>
      </c>
      <c r="O97" s="490">
        <f t="shared" si="64"/>
        <v>67.049431538436494</v>
      </c>
      <c r="P97" s="490">
        <f t="shared" si="64"/>
        <v>67.049431538436494</v>
      </c>
      <c r="Q97" s="490">
        <f t="shared" si="64"/>
        <v>67.049431538436494</v>
      </c>
      <c r="R97" s="490">
        <f t="shared" si="64"/>
        <v>80</v>
      </c>
      <c r="S97" s="490">
        <f t="shared" si="64"/>
        <v>80</v>
      </c>
      <c r="T97" s="490">
        <f t="shared" si="64"/>
        <v>80</v>
      </c>
      <c r="U97" s="490">
        <f t="shared" si="64"/>
        <v>80</v>
      </c>
      <c r="V97" s="490">
        <f t="shared" si="64"/>
        <v>80</v>
      </c>
      <c r="W97" s="490">
        <f t="shared" si="64"/>
        <v>80</v>
      </c>
      <c r="X97" s="490">
        <f t="shared" si="64"/>
        <v>76.049431538436494</v>
      </c>
      <c r="Y97" s="490">
        <f t="shared" si="64"/>
        <v>73.049431538436494</v>
      </c>
      <c r="Z97" s="490">
        <f t="shared" si="64"/>
        <v>67.049431538436494</v>
      </c>
      <c r="AA97" s="490">
        <f t="shared" si="64"/>
        <v>66.049431538436494</v>
      </c>
      <c r="AB97" s="491">
        <f t="shared" si="64"/>
        <v>63.049431538436494</v>
      </c>
      <c r="AC97" s="492">
        <f t="shared" si="64"/>
        <v>0</v>
      </c>
      <c r="AF97" s="99"/>
      <c r="AG97" s="7"/>
      <c r="AH97" s="7"/>
      <c r="AI97" s="7"/>
      <c r="AJ97" s="99"/>
      <c r="AK97" s="7"/>
    </row>
    <row r="98" spans="1:37" s="85" customFormat="1" ht="13.5" thickBot="1" x14ac:dyDescent="0.25">
      <c r="A98" s="496" t="s">
        <v>222</v>
      </c>
      <c r="B98" s="497">
        <f t="shared" ref="B98:AC98" si="65">MIN(60,IF(B14="Deploy",60,MAX(0,B96-$B$100)))</f>
        <v>0</v>
      </c>
      <c r="C98" s="497">
        <f t="shared" si="65"/>
        <v>0</v>
      </c>
      <c r="D98" s="497">
        <f t="shared" si="65"/>
        <v>0</v>
      </c>
      <c r="E98" s="497">
        <f t="shared" si="65"/>
        <v>0</v>
      </c>
      <c r="F98" s="497">
        <f t="shared" si="65"/>
        <v>0</v>
      </c>
      <c r="G98" s="497">
        <f t="shared" si="65"/>
        <v>0</v>
      </c>
      <c r="H98" s="497">
        <f t="shared" si="65"/>
        <v>0</v>
      </c>
      <c r="I98" s="497">
        <f t="shared" si="65"/>
        <v>0</v>
      </c>
      <c r="J98" s="497">
        <f t="shared" si="65"/>
        <v>0</v>
      </c>
      <c r="K98" s="497">
        <f t="shared" si="65"/>
        <v>19.098863076872995</v>
      </c>
      <c r="L98" s="497">
        <f t="shared" si="65"/>
        <v>44.098863076872995</v>
      </c>
      <c r="M98" s="497">
        <f t="shared" si="65"/>
        <v>49.098863076872995</v>
      </c>
      <c r="N98" s="497">
        <f t="shared" si="65"/>
        <v>49.098863076872995</v>
      </c>
      <c r="O98" s="497">
        <f t="shared" si="65"/>
        <v>49.098863076872995</v>
      </c>
      <c r="P98" s="497">
        <f t="shared" si="65"/>
        <v>49.098863076872995</v>
      </c>
      <c r="Q98" s="497">
        <f t="shared" si="65"/>
        <v>49.098863076872995</v>
      </c>
      <c r="R98" s="497">
        <f t="shared" si="65"/>
        <v>60</v>
      </c>
      <c r="S98" s="497">
        <f t="shared" si="65"/>
        <v>60</v>
      </c>
      <c r="T98" s="497">
        <f t="shared" si="65"/>
        <v>60</v>
      </c>
      <c r="U98" s="497">
        <f t="shared" si="65"/>
        <v>60</v>
      </c>
      <c r="V98" s="497">
        <f t="shared" si="65"/>
        <v>60</v>
      </c>
      <c r="W98" s="497">
        <f t="shared" si="65"/>
        <v>60</v>
      </c>
      <c r="X98" s="497">
        <f t="shared" si="65"/>
        <v>58.098863076872995</v>
      </c>
      <c r="Y98" s="497">
        <f t="shared" si="65"/>
        <v>55.098863076872995</v>
      </c>
      <c r="Z98" s="497">
        <f t="shared" si="65"/>
        <v>49.098863076872995</v>
      </c>
      <c r="AA98" s="497">
        <f t="shared" si="65"/>
        <v>48.098863076872995</v>
      </c>
      <c r="AB98" s="498">
        <f t="shared" si="65"/>
        <v>45.098863076872995</v>
      </c>
      <c r="AC98" s="499">
        <f t="shared" si="65"/>
        <v>0</v>
      </c>
      <c r="AF98" s="99"/>
      <c r="AG98" s="7"/>
      <c r="AH98" s="7"/>
      <c r="AI98" s="7"/>
      <c r="AJ98" s="99"/>
      <c r="AK98" s="7"/>
    </row>
    <row r="99" spans="1:37" ht="13.5" thickBot="1" x14ac:dyDescent="0.25">
      <c r="A99" s="144" t="s">
        <v>223</v>
      </c>
      <c r="B99" s="145">
        <v>37</v>
      </c>
      <c r="C99" s="145">
        <v>37</v>
      </c>
      <c r="D99" s="145">
        <v>37</v>
      </c>
      <c r="E99" s="145">
        <v>37</v>
      </c>
      <c r="F99" s="145">
        <v>37</v>
      </c>
      <c r="G99" s="145">
        <v>37</v>
      </c>
      <c r="H99" s="145">
        <v>46</v>
      </c>
      <c r="I99" s="145">
        <v>54</v>
      </c>
      <c r="J99" s="145">
        <v>61</v>
      </c>
      <c r="K99" s="145">
        <v>63</v>
      </c>
      <c r="L99" s="145">
        <v>75</v>
      </c>
      <c r="M99" s="145">
        <v>85</v>
      </c>
      <c r="N99" s="145">
        <v>85</v>
      </c>
      <c r="O99" s="145">
        <v>85</v>
      </c>
      <c r="P99" s="145">
        <v>85</v>
      </c>
      <c r="Q99" s="145">
        <v>85</v>
      </c>
      <c r="R99" s="145">
        <v>100</v>
      </c>
      <c r="S99" s="145">
        <v>100</v>
      </c>
      <c r="T99" s="145">
        <v>100</v>
      </c>
      <c r="U99" s="145">
        <v>100</v>
      </c>
      <c r="V99" s="145">
        <v>100</v>
      </c>
      <c r="W99" s="145">
        <v>100</v>
      </c>
      <c r="X99" s="145">
        <v>94</v>
      </c>
      <c r="Y99" s="145">
        <v>91</v>
      </c>
      <c r="Z99" s="145">
        <v>85</v>
      </c>
      <c r="AA99" s="145">
        <v>84</v>
      </c>
      <c r="AB99" s="146">
        <v>81</v>
      </c>
      <c r="AC99" s="147">
        <v>37</v>
      </c>
    </row>
    <row r="100" spans="1:37" s="99" customFormat="1" x14ac:dyDescent="0.2">
      <c r="A100" s="123" t="s">
        <v>224</v>
      </c>
      <c r="B100" s="124">
        <f t="array" ref="B100">SQRT(SUM(POWER(AVERAGE(B96:AB96)-(B96:AB96),2))/COUNT(B96:AB96))*1</f>
        <v>35.901136923127005</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85"/>
      <c r="AE100" s="85"/>
      <c r="AF100" s="7"/>
      <c r="AG100" s="7"/>
      <c r="AH100" s="7"/>
      <c r="AI100" s="7"/>
      <c r="AJ100" s="7"/>
      <c r="AK100" s="7"/>
    </row>
    <row r="101" spans="1:37" ht="13.5" thickBot="1" x14ac:dyDescent="0.25">
      <c r="A101" s="500" t="s">
        <v>225</v>
      </c>
      <c r="B101" s="501">
        <f>B100/2</f>
        <v>17.950568461563503</v>
      </c>
    </row>
    <row r="102" spans="1:37" ht="13.5" thickBo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37" ht="13.5" thickBot="1" x14ac:dyDescent="0.25">
      <c r="A103" s="634" t="s">
        <v>226</v>
      </c>
      <c r="B103" s="635"/>
      <c r="C103" s="99"/>
      <c r="D103" s="125"/>
      <c r="E103" s="125"/>
      <c r="F103" s="125"/>
      <c r="G103" s="125"/>
      <c r="H103" s="125"/>
      <c r="I103" s="99"/>
      <c r="J103" s="99"/>
      <c r="K103" s="99"/>
      <c r="L103" s="99"/>
      <c r="M103" s="99"/>
      <c r="N103" s="99"/>
      <c r="O103" s="99"/>
      <c r="P103" s="99"/>
      <c r="Q103" s="99"/>
      <c r="R103" s="99"/>
      <c r="S103" s="99"/>
      <c r="T103" s="99"/>
      <c r="U103" s="99"/>
      <c r="V103" s="99"/>
      <c r="W103" s="99"/>
      <c r="X103" s="99"/>
      <c r="Y103" s="99"/>
      <c r="Z103" s="99"/>
      <c r="AA103" s="99"/>
      <c r="AB103" s="99"/>
      <c r="AC103" s="99"/>
    </row>
    <row r="104" spans="1:37" ht="13.5" thickBot="1" x14ac:dyDescent="0.25">
      <c r="A104" s="636" t="s">
        <v>227</v>
      </c>
      <c r="B104" s="637"/>
      <c r="C104" s="99"/>
      <c r="D104" s="125"/>
      <c r="E104" s="125"/>
      <c r="F104" s="125"/>
      <c r="G104" s="125"/>
      <c r="H104" s="125"/>
      <c r="I104" s="99"/>
      <c r="J104" s="99"/>
      <c r="K104" s="99"/>
      <c r="L104" s="99"/>
      <c r="M104" s="99"/>
      <c r="N104" s="99"/>
      <c r="O104" s="99"/>
      <c r="P104" s="99"/>
      <c r="Q104" s="99"/>
      <c r="R104" s="99"/>
      <c r="S104" s="99"/>
      <c r="T104" s="99"/>
      <c r="U104" s="99"/>
      <c r="V104" s="99"/>
      <c r="W104" s="99"/>
      <c r="X104" s="99"/>
      <c r="Y104" s="99"/>
      <c r="Z104" s="99"/>
      <c r="AA104" s="99"/>
      <c r="AB104" s="99"/>
      <c r="AC104" s="99"/>
    </row>
    <row r="105" spans="1:37" ht="13.5" thickTop="1" x14ac:dyDescent="0.2">
      <c r="A105" s="21" t="s">
        <v>228</v>
      </c>
      <c r="B105" s="22">
        <v>9</v>
      </c>
      <c r="D105" s="23"/>
      <c r="E105" s="24"/>
      <c r="H105" s="20"/>
    </row>
    <row r="106" spans="1:37" x14ac:dyDescent="0.2">
      <c r="A106" s="502" t="s">
        <v>229</v>
      </c>
      <c r="B106" s="503">
        <v>5</v>
      </c>
      <c r="D106" s="23"/>
      <c r="E106" s="25"/>
      <c r="H106" s="20"/>
      <c r="AK106" s="99"/>
    </row>
    <row r="107" spans="1:37" x14ac:dyDescent="0.2">
      <c r="A107" s="21" t="s">
        <v>230</v>
      </c>
      <c r="B107" s="22">
        <v>9</v>
      </c>
      <c r="D107" s="23"/>
      <c r="E107" s="23"/>
      <c r="H107" s="20"/>
      <c r="AG107" s="99"/>
      <c r="AH107" s="99"/>
      <c r="AI107" s="99"/>
      <c r="AK107" s="99"/>
    </row>
    <row r="108" spans="1:37" x14ac:dyDescent="0.2">
      <c r="A108" s="502" t="s">
        <v>231</v>
      </c>
      <c r="B108" s="503">
        <v>5</v>
      </c>
      <c r="D108" s="23"/>
      <c r="E108" s="23"/>
      <c r="H108" s="20"/>
    </row>
    <row r="109" spans="1:37" x14ac:dyDescent="0.2">
      <c r="A109" s="502" t="s">
        <v>232</v>
      </c>
      <c r="B109" s="504" t="s">
        <v>200</v>
      </c>
      <c r="D109" s="15"/>
      <c r="E109" s="157"/>
      <c r="F109" s="20"/>
      <c r="H109" s="20"/>
    </row>
    <row r="110" spans="1:37" s="99" customFormat="1" x14ac:dyDescent="0.2">
      <c r="A110" s="502" t="s">
        <v>233</v>
      </c>
      <c r="B110" s="504">
        <v>5</v>
      </c>
      <c r="C110" s="7"/>
      <c r="D110" s="15"/>
      <c r="E110" s="157"/>
      <c r="F110" s="20"/>
      <c r="G110" s="7"/>
      <c r="H110" s="20"/>
      <c r="I110" s="7"/>
      <c r="J110" s="7"/>
      <c r="K110" s="7"/>
      <c r="L110" s="7"/>
      <c r="M110" s="7"/>
      <c r="N110" s="7"/>
      <c r="O110" s="7"/>
      <c r="P110" s="7"/>
      <c r="Q110" s="7"/>
      <c r="R110" s="7"/>
      <c r="S110" s="7"/>
      <c r="T110" s="7"/>
      <c r="U110" s="7"/>
      <c r="V110" s="7"/>
      <c r="W110" s="7"/>
      <c r="X110" s="7"/>
      <c r="Y110" s="7"/>
      <c r="Z110" s="7"/>
      <c r="AA110" s="7"/>
      <c r="AB110" s="7"/>
      <c r="AC110" s="7"/>
      <c r="AD110" s="85"/>
      <c r="AE110" s="85"/>
      <c r="AG110" s="7"/>
      <c r="AH110" s="7"/>
      <c r="AI110" s="7"/>
      <c r="AK110" s="7"/>
    </row>
    <row r="111" spans="1:37" s="99" customFormat="1" x14ac:dyDescent="0.2">
      <c r="A111" s="502" t="s">
        <v>234</v>
      </c>
      <c r="B111" s="504">
        <v>9</v>
      </c>
      <c r="C111" s="7"/>
      <c r="D111" s="15"/>
      <c r="E111" s="157"/>
      <c r="F111" s="20"/>
      <c r="G111" s="7"/>
      <c r="H111" s="20"/>
      <c r="I111" s="7"/>
      <c r="J111" s="7"/>
      <c r="K111" s="7"/>
      <c r="L111" s="7"/>
      <c r="M111" s="7"/>
      <c r="N111" s="7"/>
      <c r="O111" s="7"/>
      <c r="P111" s="7"/>
      <c r="Q111" s="7"/>
      <c r="R111" s="7"/>
      <c r="S111" s="7"/>
      <c r="T111" s="7"/>
      <c r="U111" s="7"/>
      <c r="V111" s="7"/>
      <c r="W111" s="7"/>
      <c r="X111" s="7"/>
      <c r="Y111" s="7"/>
      <c r="Z111" s="7"/>
      <c r="AA111" s="7"/>
      <c r="AB111" s="7"/>
      <c r="AC111" s="7"/>
      <c r="AD111" s="85"/>
      <c r="AE111" s="85"/>
      <c r="AF111" s="7"/>
      <c r="AG111" s="7"/>
      <c r="AH111" s="7"/>
      <c r="AI111" s="7"/>
      <c r="AJ111" s="7"/>
      <c r="AK111" s="7"/>
    </row>
    <row r="112" spans="1:37" x14ac:dyDescent="0.2">
      <c r="A112" s="502" t="s">
        <v>235</v>
      </c>
      <c r="B112" s="503">
        <v>14</v>
      </c>
      <c r="D112" s="15"/>
      <c r="E112" s="157"/>
      <c r="F112" s="20"/>
      <c r="H112" s="20"/>
    </row>
    <row r="113" spans="1:37" x14ac:dyDescent="0.2">
      <c r="A113" s="502" t="s">
        <v>236</v>
      </c>
      <c r="B113" s="505">
        <v>1</v>
      </c>
      <c r="D113" s="15"/>
      <c r="E113" s="157"/>
      <c r="F113" s="99"/>
      <c r="G113" s="99"/>
      <c r="H113" s="20"/>
    </row>
    <row r="114" spans="1:37" x14ac:dyDescent="0.2">
      <c r="A114" s="502" t="s">
        <v>237</v>
      </c>
      <c r="B114" s="506">
        <v>14</v>
      </c>
      <c r="C114" s="99"/>
      <c r="D114" s="15"/>
      <c r="E114" s="157"/>
      <c r="F114" s="20"/>
      <c r="H114" s="125"/>
      <c r="I114" s="99"/>
      <c r="J114" s="99"/>
      <c r="K114" s="99"/>
      <c r="L114" s="99"/>
      <c r="M114" s="99"/>
      <c r="N114" s="99"/>
      <c r="O114" s="99"/>
      <c r="P114" s="99"/>
      <c r="Q114" s="99"/>
      <c r="R114" s="99"/>
      <c r="S114" s="99"/>
      <c r="T114" s="99"/>
      <c r="U114" s="99"/>
      <c r="V114" s="99"/>
      <c r="W114" s="99"/>
      <c r="X114" s="99"/>
      <c r="Y114" s="99"/>
      <c r="Z114" s="99"/>
      <c r="AA114" s="99"/>
      <c r="AB114" s="127"/>
      <c r="AC114" s="127"/>
    </row>
    <row r="115" spans="1:37" x14ac:dyDescent="0.2">
      <c r="A115" s="502" t="s">
        <v>238</v>
      </c>
      <c r="B115" s="506">
        <v>14</v>
      </c>
      <c r="D115" s="15"/>
      <c r="E115" s="158"/>
      <c r="F115" s="20"/>
      <c r="G115" s="20"/>
      <c r="H115" s="20"/>
    </row>
    <row r="116" spans="1:37" s="99" customFormat="1" ht="13.5" thickBot="1" x14ac:dyDescent="0.25">
      <c r="A116" s="507" t="s">
        <v>239</v>
      </c>
      <c r="B116" s="508">
        <v>8</v>
      </c>
      <c r="C116" s="7"/>
      <c r="D116" s="7"/>
      <c r="E116" s="7"/>
      <c r="F116" s="7"/>
      <c r="G116" s="20"/>
      <c r="H116" s="20"/>
      <c r="I116" s="7"/>
      <c r="J116" s="7"/>
      <c r="K116" s="7"/>
      <c r="L116" s="7"/>
      <c r="M116" s="7"/>
      <c r="N116" s="7"/>
      <c r="O116" s="7"/>
      <c r="P116" s="7"/>
      <c r="Q116" s="7"/>
      <c r="R116" s="7"/>
      <c r="S116" s="7"/>
      <c r="T116" s="7"/>
      <c r="U116" s="7"/>
      <c r="V116" s="7"/>
      <c r="W116" s="7"/>
      <c r="X116" s="7"/>
      <c r="Y116" s="7"/>
      <c r="Z116" s="7"/>
      <c r="AA116" s="7"/>
      <c r="AB116" s="7"/>
      <c r="AC116" s="7"/>
      <c r="AD116" s="85"/>
      <c r="AE116" s="85"/>
      <c r="AF116" s="7"/>
      <c r="AG116" s="7"/>
      <c r="AH116" s="7"/>
      <c r="AI116" s="7"/>
      <c r="AJ116" s="7"/>
      <c r="AK116" s="7"/>
    </row>
    <row r="117" spans="1:37" ht="13.5" thickBot="1" x14ac:dyDescent="0.25"/>
    <row r="118" spans="1:37" ht="13.5" thickBot="1" x14ac:dyDescent="0.25">
      <c r="A118" s="634" t="s">
        <v>240</v>
      </c>
      <c r="B118" s="635"/>
    </row>
    <row r="119" spans="1:37" x14ac:dyDescent="0.2">
      <c r="A119" s="47" t="s">
        <v>241</v>
      </c>
      <c r="B119" s="48" t="s">
        <v>242</v>
      </c>
      <c r="C119" s="48" t="s">
        <v>242</v>
      </c>
      <c r="D119" s="48" t="s">
        <v>242</v>
      </c>
      <c r="E119" s="48"/>
      <c r="F119" s="48" t="s">
        <v>242</v>
      </c>
      <c r="G119" s="48" t="s">
        <v>242</v>
      </c>
      <c r="H119" s="48" t="s">
        <v>242</v>
      </c>
      <c r="I119" s="48" t="s">
        <v>242</v>
      </c>
      <c r="J119" s="48"/>
      <c r="K119" s="48"/>
      <c r="L119" s="48"/>
      <c r="M119" s="48"/>
      <c r="N119" s="48" t="s">
        <v>242</v>
      </c>
      <c r="O119" s="48" t="s">
        <v>242</v>
      </c>
      <c r="P119" s="48"/>
      <c r="Q119" s="48"/>
      <c r="R119" s="48"/>
      <c r="S119" s="48"/>
      <c r="T119" s="48"/>
      <c r="U119" s="48"/>
      <c r="V119" s="48"/>
      <c r="W119" s="48"/>
      <c r="X119" s="48"/>
      <c r="Y119" s="48" t="s">
        <v>242</v>
      </c>
      <c r="Z119" s="48" t="s">
        <v>242</v>
      </c>
      <c r="AA119" s="48" t="s">
        <v>242</v>
      </c>
      <c r="AB119" s="48" t="s">
        <v>242</v>
      </c>
      <c r="AC119" s="49" t="s">
        <v>242</v>
      </c>
    </row>
    <row r="120" spans="1:37" thickBot="1" x14ac:dyDescent="0.25">
      <c r="A120" s="509" t="s">
        <v>243</v>
      </c>
      <c r="B120" s="510"/>
      <c r="C120" s="510"/>
      <c r="D120" s="510"/>
      <c r="E120" s="510"/>
      <c r="F120" s="510"/>
      <c r="G120" s="510"/>
      <c r="H120" s="510"/>
      <c r="I120" s="510"/>
      <c r="J120" s="510" t="s">
        <v>242</v>
      </c>
      <c r="K120" s="510"/>
      <c r="L120" s="510" t="s">
        <v>242</v>
      </c>
      <c r="M120" s="510" t="s">
        <v>242</v>
      </c>
      <c r="N120" s="510"/>
      <c r="O120" s="510"/>
      <c r="P120" s="510" t="s">
        <v>242</v>
      </c>
      <c r="Q120" s="510"/>
      <c r="R120" s="510" t="s">
        <v>242</v>
      </c>
      <c r="S120" s="510" t="s">
        <v>242</v>
      </c>
      <c r="T120" s="510" t="s">
        <v>242</v>
      </c>
      <c r="U120" s="510" t="s">
        <v>242</v>
      </c>
      <c r="V120" s="510" t="s">
        <v>242</v>
      </c>
      <c r="W120" s="510" t="s">
        <v>242</v>
      </c>
      <c r="X120" s="510"/>
      <c r="Y120" s="510"/>
      <c r="Z120" s="510"/>
      <c r="AA120" s="510"/>
      <c r="AB120" s="510"/>
      <c r="AC120" s="511"/>
      <c r="AD120" s="7"/>
      <c r="AE120" s="7"/>
    </row>
    <row r="121" spans="1:37" thickBot="1" x14ac:dyDescent="0.25">
      <c r="AD121" s="7"/>
      <c r="AE121" s="7"/>
    </row>
    <row r="122" spans="1:37" ht="13.5" thickBot="1" x14ac:dyDescent="0.25">
      <c r="A122" s="634" t="s">
        <v>244</v>
      </c>
      <c r="B122" s="635"/>
      <c r="AD122" s="7"/>
      <c r="AE122" s="7"/>
    </row>
    <row r="123" spans="1:37" ht="13.5" thickBot="1" x14ac:dyDescent="0.25">
      <c r="A123" s="70" t="s">
        <v>184</v>
      </c>
      <c r="B123" s="71" t="s">
        <v>105</v>
      </c>
    </row>
    <row r="124" spans="1:37" x14ac:dyDescent="0.2">
      <c r="A124" s="38" t="s">
        <v>185</v>
      </c>
      <c r="B124" s="38">
        <v>14</v>
      </c>
    </row>
    <row r="125" spans="1:37" x14ac:dyDescent="0.2">
      <c r="A125" s="465" t="s">
        <v>186</v>
      </c>
      <c r="B125" s="465">
        <v>10</v>
      </c>
    </row>
    <row r="126" spans="1:37" x14ac:dyDescent="0.2">
      <c r="A126" s="462" t="s">
        <v>187</v>
      </c>
      <c r="B126" s="465">
        <v>8</v>
      </c>
    </row>
    <row r="127" spans="1:37" x14ac:dyDescent="0.2">
      <c r="A127" s="462" t="s">
        <v>188</v>
      </c>
      <c r="B127" s="465">
        <v>4</v>
      </c>
    </row>
    <row r="128" spans="1:37" x14ac:dyDescent="0.2">
      <c r="A128" s="465" t="s">
        <v>189</v>
      </c>
      <c r="B128" s="465">
        <v>11</v>
      </c>
    </row>
    <row r="129" spans="1:23" x14ac:dyDescent="0.2">
      <c r="A129" s="465" t="s">
        <v>190</v>
      </c>
      <c r="B129" s="465">
        <v>7</v>
      </c>
    </row>
    <row r="130" spans="1:23" x14ac:dyDescent="0.2">
      <c r="A130" s="462" t="s">
        <v>191</v>
      </c>
      <c r="B130" s="465">
        <v>13</v>
      </c>
    </row>
    <row r="131" spans="1:23" x14ac:dyDescent="0.2">
      <c r="A131" s="462" t="s">
        <v>192</v>
      </c>
      <c r="B131" s="465">
        <v>9</v>
      </c>
    </row>
    <row r="132" spans="1:23" x14ac:dyDescent="0.2">
      <c r="A132" s="465" t="s">
        <v>193</v>
      </c>
      <c r="B132" s="465">
        <v>11</v>
      </c>
    </row>
    <row r="133" spans="1:23" x14ac:dyDescent="0.2">
      <c r="A133" s="465" t="s">
        <v>194</v>
      </c>
      <c r="B133" s="465">
        <v>7</v>
      </c>
    </row>
    <row r="134" spans="1:23" x14ac:dyDescent="0.2">
      <c r="A134" s="462" t="s">
        <v>195</v>
      </c>
      <c r="B134" s="465">
        <v>12</v>
      </c>
    </row>
    <row r="135" spans="1:23" ht="13.5" thickBot="1" x14ac:dyDescent="0.25">
      <c r="A135" s="512" t="s">
        <v>196</v>
      </c>
      <c r="B135" s="476">
        <v>8</v>
      </c>
    </row>
    <row r="136" spans="1:23" ht="13.5" thickBot="1" x14ac:dyDescent="0.25">
      <c r="N136" s="20"/>
      <c r="O136" s="20"/>
      <c r="P136" s="20"/>
      <c r="Q136" s="20"/>
      <c r="R136" s="20"/>
      <c r="S136" s="20"/>
      <c r="T136" s="20"/>
      <c r="U136" s="20"/>
      <c r="V136" s="20"/>
      <c r="W136" s="20"/>
    </row>
    <row r="137" spans="1:23" x14ac:dyDescent="0.2">
      <c r="A137" s="192" t="s">
        <v>245</v>
      </c>
      <c r="B137" s="638" t="s">
        <v>246</v>
      </c>
      <c r="C137" s="638"/>
      <c r="D137" s="639" t="s">
        <v>247</v>
      </c>
      <c r="E137" s="639"/>
      <c r="F137" s="632" t="s">
        <v>248</v>
      </c>
      <c r="G137" s="633"/>
      <c r="J137" s="244" t="s">
        <v>63</v>
      </c>
      <c r="K137" s="245"/>
      <c r="N137" s="20"/>
      <c r="O137" s="20"/>
      <c r="P137" s="20"/>
      <c r="Q137" s="20"/>
      <c r="R137" s="643"/>
      <c r="S137" s="643"/>
      <c r="T137" s="643"/>
      <c r="U137" s="643"/>
      <c r="V137" s="643"/>
      <c r="W137" s="643"/>
    </row>
    <row r="138" spans="1:23" x14ac:dyDescent="0.2">
      <c r="A138" s="513" t="s">
        <v>249</v>
      </c>
      <c r="B138" s="193"/>
      <c r="C138" s="193"/>
      <c r="D138" s="193"/>
      <c r="E138" s="193"/>
      <c r="F138" s="193"/>
      <c r="G138" s="194"/>
      <c r="J138" s="342" t="s">
        <v>250</v>
      </c>
      <c r="K138" s="245"/>
      <c r="N138" s="20"/>
      <c r="O138" s="20"/>
      <c r="P138" s="20"/>
      <c r="Q138" s="20"/>
      <c r="R138" s="195"/>
      <c r="S138" s="195"/>
      <c r="T138" s="195"/>
      <c r="U138" s="195"/>
      <c r="V138" s="195"/>
      <c r="W138" s="195"/>
    </row>
    <row r="139" spans="1:23" x14ac:dyDescent="0.2">
      <c r="A139" s="514" t="s">
        <v>251</v>
      </c>
      <c r="B139" s="515">
        <f>$B$2</f>
        <v>5</v>
      </c>
      <c r="C139" s="515">
        <v>5</v>
      </c>
      <c r="D139" s="516">
        <v>4</v>
      </c>
      <c r="E139" s="516">
        <v>4</v>
      </c>
      <c r="F139" s="517">
        <v>3</v>
      </c>
      <c r="G139" s="518">
        <v>0</v>
      </c>
      <c r="N139" s="20"/>
      <c r="O139" s="20"/>
      <c r="P139" s="20"/>
      <c r="Q139" s="20"/>
      <c r="R139" s="196"/>
      <c r="S139" s="196"/>
      <c r="T139" s="196"/>
      <c r="U139" s="196"/>
      <c r="V139" s="196"/>
      <c r="W139" s="196"/>
    </row>
    <row r="140" spans="1:23" x14ac:dyDescent="0.2">
      <c r="A140" s="514" t="s">
        <v>252</v>
      </c>
      <c r="B140" s="515">
        <f>$B$139</f>
        <v>5</v>
      </c>
      <c r="C140" s="515">
        <v>4</v>
      </c>
      <c r="D140" s="516">
        <v>3</v>
      </c>
      <c r="E140" s="516">
        <v>3</v>
      </c>
      <c r="F140" s="517">
        <v>2</v>
      </c>
      <c r="G140" s="518">
        <v>0</v>
      </c>
      <c r="N140" s="20"/>
      <c r="O140" s="20"/>
      <c r="P140" s="20"/>
      <c r="Q140" s="20"/>
      <c r="R140" s="196"/>
      <c r="S140" s="196"/>
      <c r="T140" s="196"/>
      <c r="U140" s="196"/>
      <c r="V140" s="196"/>
      <c r="W140" s="196"/>
    </row>
    <row r="141" spans="1:23" x14ac:dyDescent="0.2">
      <c r="A141" s="513" t="s">
        <v>163</v>
      </c>
      <c r="B141" s="195"/>
      <c r="C141" s="196"/>
      <c r="D141" s="196"/>
      <c r="E141" s="196"/>
      <c r="F141" s="196"/>
      <c r="G141" s="197"/>
      <c r="N141" s="20"/>
      <c r="O141" s="20"/>
      <c r="P141" s="20"/>
      <c r="Q141" s="20"/>
      <c r="R141" s="195"/>
      <c r="S141" s="196"/>
      <c r="T141" s="196"/>
      <c r="U141" s="196"/>
      <c r="V141" s="196"/>
      <c r="W141" s="195"/>
    </row>
    <row r="142" spans="1:23" x14ac:dyDescent="0.2">
      <c r="A142" s="514" t="s">
        <v>165</v>
      </c>
      <c r="B142" s="515">
        <f t="shared" ref="B142:B150" si="66">$B$139</f>
        <v>5</v>
      </c>
      <c r="C142" s="515">
        <f t="shared" ref="C142:C148" si="67">ROUND(R39,0)</f>
        <v>1</v>
      </c>
      <c r="D142" s="516"/>
      <c r="E142" s="516"/>
      <c r="F142" s="517"/>
      <c r="G142" s="518">
        <v>0</v>
      </c>
      <c r="N142" s="20"/>
      <c r="O142" s="20"/>
      <c r="P142" s="20"/>
      <c r="Q142" s="20"/>
      <c r="R142" s="196"/>
      <c r="S142" s="196"/>
      <c r="T142" s="196"/>
      <c r="U142" s="196"/>
      <c r="V142" s="196"/>
      <c r="W142" s="196"/>
    </row>
    <row r="143" spans="1:23" x14ac:dyDescent="0.2">
      <c r="A143" s="514" t="s">
        <v>167</v>
      </c>
      <c r="B143" s="515">
        <f t="shared" si="66"/>
        <v>5</v>
      </c>
      <c r="C143" s="515">
        <f t="shared" si="67"/>
        <v>3</v>
      </c>
      <c r="D143" s="516">
        <v>2</v>
      </c>
      <c r="E143" s="516"/>
      <c r="F143" s="517">
        <v>1</v>
      </c>
      <c r="G143" s="518">
        <v>0</v>
      </c>
      <c r="N143" s="20"/>
      <c r="O143" s="20"/>
      <c r="P143" s="20"/>
      <c r="Q143" s="20"/>
      <c r="R143" s="196"/>
      <c r="S143" s="196"/>
      <c r="T143" s="196"/>
      <c r="U143" s="196"/>
      <c r="V143" s="196"/>
      <c r="W143" s="196"/>
    </row>
    <row r="144" spans="1:23" x14ac:dyDescent="0.2">
      <c r="A144" s="514" t="s">
        <v>168</v>
      </c>
      <c r="B144" s="515">
        <f t="shared" si="66"/>
        <v>5</v>
      </c>
      <c r="C144" s="515">
        <f t="shared" si="67"/>
        <v>3</v>
      </c>
      <c r="D144" s="516">
        <v>2</v>
      </c>
      <c r="E144" s="516"/>
      <c r="F144" s="517">
        <v>1</v>
      </c>
      <c r="G144" s="518">
        <v>0</v>
      </c>
      <c r="N144" s="20"/>
      <c r="O144" s="20"/>
      <c r="P144" s="20"/>
      <c r="Q144" s="20"/>
      <c r="R144" s="196"/>
      <c r="S144" s="196"/>
      <c r="T144" s="196"/>
      <c r="U144" s="196"/>
      <c r="V144" s="196"/>
      <c r="W144" s="196"/>
    </row>
    <row r="145" spans="1:23" x14ac:dyDescent="0.2">
      <c r="A145" s="421" t="s">
        <v>170</v>
      </c>
      <c r="B145" s="515">
        <f t="shared" si="66"/>
        <v>5</v>
      </c>
      <c r="C145" s="515">
        <f t="shared" si="67"/>
        <v>3</v>
      </c>
      <c r="D145" s="516">
        <v>2</v>
      </c>
      <c r="E145" s="516"/>
      <c r="F145" s="517">
        <v>1</v>
      </c>
      <c r="G145" s="518">
        <v>0</v>
      </c>
      <c r="N145" s="20"/>
      <c r="O145" s="20"/>
      <c r="P145" s="20"/>
      <c r="Q145" s="20"/>
      <c r="R145" s="196"/>
      <c r="S145" s="196"/>
      <c r="T145" s="196"/>
      <c r="U145" s="196"/>
      <c r="V145" s="196"/>
      <c r="W145" s="196"/>
    </row>
    <row r="146" spans="1:23" x14ac:dyDescent="0.2">
      <c r="A146" s="514" t="s">
        <v>171</v>
      </c>
      <c r="B146" s="515">
        <f t="shared" si="66"/>
        <v>5</v>
      </c>
      <c r="C146" s="515">
        <f t="shared" si="67"/>
        <v>3</v>
      </c>
      <c r="D146" s="516">
        <v>2</v>
      </c>
      <c r="E146" s="516">
        <v>2</v>
      </c>
      <c r="F146" s="517">
        <v>1</v>
      </c>
      <c r="G146" s="518">
        <v>0</v>
      </c>
      <c r="N146" s="20"/>
      <c r="O146" s="20"/>
      <c r="P146" s="20"/>
      <c r="Q146" s="20"/>
      <c r="R146" s="196"/>
      <c r="S146" s="196"/>
      <c r="T146" s="196"/>
      <c r="U146" s="196"/>
      <c r="V146" s="196"/>
      <c r="W146" s="196"/>
    </row>
    <row r="147" spans="1:23" x14ac:dyDescent="0.2">
      <c r="A147" s="514" t="s">
        <v>173</v>
      </c>
      <c r="B147" s="515">
        <f t="shared" si="66"/>
        <v>5</v>
      </c>
      <c r="C147" s="515">
        <f t="shared" si="67"/>
        <v>4</v>
      </c>
      <c r="D147" s="516">
        <v>3</v>
      </c>
      <c r="E147" s="516">
        <v>2</v>
      </c>
      <c r="F147" s="517">
        <v>1</v>
      </c>
      <c r="G147" s="518">
        <v>0</v>
      </c>
      <c r="N147" s="20"/>
      <c r="O147" s="20"/>
      <c r="P147" s="20"/>
      <c r="Q147" s="20"/>
      <c r="R147" s="196"/>
      <c r="S147" s="196"/>
      <c r="T147" s="196"/>
      <c r="U147" s="196"/>
      <c r="V147" s="196"/>
      <c r="W147" s="196"/>
    </row>
    <row r="148" spans="1:23" x14ac:dyDescent="0.2">
      <c r="A148" s="514" t="s">
        <v>174</v>
      </c>
      <c r="B148" s="515">
        <f t="shared" si="66"/>
        <v>5</v>
      </c>
      <c r="C148" s="515">
        <f t="shared" si="67"/>
        <v>3</v>
      </c>
      <c r="D148" s="516">
        <v>2</v>
      </c>
      <c r="E148" s="516">
        <v>2</v>
      </c>
      <c r="F148" s="517">
        <v>1</v>
      </c>
      <c r="G148" s="518">
        <v>0</v>
      </c>
      <c r="N148" s="20"/>
      <c r="O148" s="20"/>
      <c r="P148" s="20"/>
      <c r="Q148" s="20"/>
      <c r="R148" s="196"/>
      <c r="S148" s="196"/>
      <c r="T148" s="196"/>
      <c r="U148" s="196"/>
      <c r="V148" s="196"/>
      <c r="W148" s="196"/>
    </row>
    <row r="149" spans="1:23" x14ac:dyDescent="0.2">
      <c r="A149" s="514" t="s">
        <v>176</v>
      </c>
      <c r="B149" s="515">
        <f t="shared" si="66"/>
        <v>5</v>
      </c>
      <c r="C149" s="515">
        <f t="shared" ref="C149:G149" si="68">C140</f>
        <v>4</v>
      </c>
      <c r="D149" s="516">
        <f t="shared" si="68"/>
        <v>3</v>
      </c>
      <c r="E149" s="516">
        <f t="shared" si="68"/>
        <v>3</v>
      </c>
      <c r="F149" s="517">
        <f t="shared" si="68"/>
        <v>2</v>
      </c>
      <c r="G149" s="518">
        <f t="shared" si="68"/>
        <v>0</v>
      </c>
      <c r="N149" s="20"/>
      <c r="O149" s="20"/>
      <c r="P149" s="20"/>
      <c r="Q149" s="20"/>
      <c r="R149" s="196"/>
      <c r="S149" s="196"/>
      <c r="T149" s="196"/>
      <c r="U149" s="196"/>
      <c r="V149" s="196"/>
      <c r="W149" s="196"/>
    </row>
    <row r="150" spans="1:23" x14ac:dyDescent="0.2">
      <c r="A150" s="519" t="s">
        <v>177</v>
      </c>
      <c r="B150" s="515">
        <f t="shared" si="66"/>
        <v>5</v>
      </c>
      <c r="C150" s="515">
        <f t="shared" ref="C150:G150" si="69">C140</f>
        <v>4</v>
      </c>
      <c r="D150" s="516">
        <f t="shared" si="69"/>
        <v>3</v>
      </c>
      <c r="E150" s="516">
        <f t="shared" si="69"/>
        <v>3</v>
      </c>
      <c r="F150" s="517">
        <f t="shared" si="69"/>
        <v>2</v>
      </c>
      <c r="G150" s="518">
        <f t="shared" si="69"/>
        <v>0</v>
      </c>
      <c r="N150" s="20"/>
      <c r="O150" s="20"/>
      <c r="P150" s="20"/>
      <c r="Q150" s="20"/>
      <c r="R150" s="196"/>
      <c r="S150" s="196"/>
      <c r="T150" s="196"/>
      <c r="U150" s="196"/>
      <c r="V150" s="196"/>
      <c r="W150" s="196"/>
    </row>
    <row r="151" spans="1:23" x14ac:dyDescent="0.2">
      <c r="A151" s="513" t="s">
        <v>179</v>
      </c>
      <c r="B151" s="195"/>
      <c r="C151" s="196"/>
      <c r="D151" s="196"/>
      <c r="E151" s="196"/>
      <c r="F151" s="196"/>
      <c r="G151" s="197"/>
      <c r="N151" s="20"/>
      <c r="O151" s="20"/>
      <c r="P151" s="20"/>
      <c r="Q151" s="20"/>
      <c r="R151" s="195"/>
      <c r="S151" s="196"/>
      <c r="T151" s="196"/>
      <c r="U151" s="196"/>
      <c r="V151" s="196"/>
      <c r="W151" s="195"/>
    </row>
    <row r="152" spans="1:23" x14ac:dyDescent="0.2">
      <c r="A152" s="514" t="s">
        <v>180</v>
      </c>
      <c r="B152" s="515">
        <f>R49</f>
        <v>20</v>
      </c>
      <c r="C152" s="515"/>
      <c r="D152" s="516">
        <f>B152-1</f>
        <v>19</v>
      </c>
      <c r="E152" s="516">
        <f>1+F152</f>
        <v>8</v>
      </c>
      <c r="F152" s="517">
        <f>MAX(F49,1)</f>
        <v>7</v>
      </c>
      <c r="G152" s="198">
        <v>0</v>
      </c>
      <c r="N152" s="20"/>
      <c r="O152" s="20"/>
      <c r="P152" s="20"/>
      <c r="Q152" s="20"/>
      <c r="R152" s="196"/>
      <c r="S152" s="196"/>
      <c r="T152" s="196"/>
      <c r="U152" s="196"/>
      <c r="V152" s="196"/>
      <c r="W152" s="196"/>
    </row>
    <row r="153" spans="1:23" x14ac:dyDescent="0.2">
      <c r="A153" s="514" t="s">
        <v>148</v>
      </c>
      <c r="B153" s="515">
        <f>B152</f>
        <v>20</v>
      </c>
      <c r="C153" s="515">
        <f>R50</f>
        <v>17</v>
      </c>
      <c r="D153" s="520">
        <f>C153-1</f>
        <v>16</v>
      </c>
      <c r="E153" s="516">
        <f t="shared" ref="E153:E167" si="70">1+F153</f>
        <v>7</v>
      </c>
      <c r="F153" s="517">
        <f>MAX(F50,1)</f>
        <v>6</v>
      </c>
      <c r="G153" s="198">
        <v>0</v>
      </c>
      <c r="N153" s="20"/>
      <c r="O153" s="20"/>
      <c r="P153" s="20"/>
      <c r="Q153" s="20"/>
      <c r="R153" s="196"/>
      <c r="S153" s="196"/>
      <c r="T153" s="196"/>
      <c r="U153" s="196"/>
      <c r="V153" s="196"/>
      <c r="W153" s="196"/>
    </row>
    <row r="154" spans="1:23" x14ac:dyDescent="0.2">
      <c r="A154" s="514" t="s">
        <v>182</v>
      </c>
      <c r="B154" s="515">
        <f>R51</f>
        <v>22</v>
      </c>
      <c r="C154" s="515"/>
      <c r="D154" s="516">
        <f>B154-1</f>
        <v>21</v>
      </c>
      <c r="E154" s="516">
        <f t="shared" si="70"/>
        <v>8</v>
      </c>
      <c r="F154" s="517">
        <f>MAX(F51,1)</f>
        <v>7</v>
      </c>
      <c r="G154" s="198">
        <v>0</v>
      </c>
      <c r="N154" s="20"/>
      <c r="O154" s="20"/>
      <c r="P154" s="20"/>
      <c r="Q154" s="20"/>
      <c r="R154" s="196"/>
      <c r="S154" s="196"/>
      <c r="T154" s="196"/>
      <c r="U154" s="196"/>
      <c r="V154" s="196"/>
      <c r="W154" s="196"/>
    </row>
    <row r="155" spans="1:23" x14ac:dyDescent="0.2">
      <c r="A155" s="514" t="s">
        <v>152</v>
      </c>
      <c r="B155" s="515">
        <f>B154</f>
        <v>22</v>
      </c>
      <c r="C155" s="515">
        <f>R52</f>
        <v>17</v>
      </c>
      <c r="D155" s="520">
        <f>C155-1</f>
        <v>16</v>
      </c>
      <c r="E155" s="516">
        <f t="shared" si="70"/>
        <v>7</v>
      </c>
      <c r="F155" s="517">
        <f>MAX(F52,1)</f>
        <v>6</v>
      </c>
      <c r="G155" s="198">
        <v>0</v>
      </c>
      <c r="N155" s="20"/>
      <c r="O155" s="20"/>
      <c r="P155" s="20"/>
      <c r="Q155" s="20"/>
      <c r="R155" s="196"/>
      <c r="S155" s="196"/>
      <c r="T155" s="196"/>
      <c r="U155" s="196"/>
      <c r="V155" s="196"/>
      <c r="W155" s="196"/>
    </row>
    <row r="156" spans="1:23" x14ac:dyDescent="0.2">
      <c r="A156" s="514" t="s">
        <v>253</v>
      </c>
      <c r="B156" s="521">
        <f>R54</f>
        <v>14</v>
      </c>
      <c r="C156" s="515"/>
      <c r="D156" s="516">
        <f>B156-1</f>
        <v>13</v>
      </c>
      <c r="E156" s="516">
        <f t="shared" si="70"/>
        <v>5</v>
      </c>
      <c r="F156" s="517">
        <f t="shared" ref="F156:F167" si="71">MAX(F54,1)</f>
        <v>4</v>
      </c>
      <c r="G156" s="198">
        <v>0</v>
      </c>
      <c r="N156" s="20"/>
      <c r="O156" s="20"/>
      <c r="P156" s="20"/>
      <c r="Q156" s="20"/>
      <c r="R156" s="196"/>
      <c r="S156" s="196"/>
      <c r="T156" s="196"/>
      <c r="U156" s="196"/>
      <c r="V156" s="196"/>
      <c r="W156" s="196"/>
    </row>
    <row r="157" spans="1:23" x14ac:dyDescent="0.2">
      <c r="A157" s="514" t="s">
        <v>186</v>
      </c>
      <c r="B157" s="521">
        <f>B156</f>
        <v>14</v>
      </c>
      <c r="C157" s="515">
        <f>R55</f>
        <v>10</v>
      </c>
      <c r="D157" s="520">
        <f>C157-1</f>
        <v>9</v>
      </c>
      <c r="E157" s="516">
        <f t="shared" si="70"/>
        <v>4</v>
      </c>
      <c r="F157" s="517">
        <f t="shared" si="71"/>
        <v>3</v>
      </c>
      <c r="G157" s="198">
        <v>0</v>
      </c>
      <c r="N157" s="20"/>
      <c r="O157" s="20"/>
      <c r="P157" s="20"/>
      <c r="Q157" s="20"/>
      <c r="R157" s="196"/>
      <c r="S157" s="196"/>
      <c r="T157" s="196"/>
      <c r="U157" s="196"/>
      <c r="V157" s="196"/>
      <c r="W157" s="196"/>
    </row>
    <row r="158" spans="1:23" x14ac:dyDescent="0.2">
      <c r="A158" s="514" t="s">
        <v>187</v>
      </c>
      <c r="B158" s="521">
        <f>R56</f>
        <v>8</v>
      </c>
      <c r="C158" s="515"/>
      <c r="D158" s="516">
        <f>B158-1</f>
        <v>7</v>
      </c>
      <c r="E158" s="516">
        <f t="shared" si="70"/>
        <v>2</v>
      </c>
      <c r="F158" s="517">
        <f t="shared" si="71"/>
        <v>1</v>
      </c>
      <c r="G158" s="198">
        <v>0</v>
      </c>
      <c r="N158" s="20"/>
      <c r="O158" s="20"/>
      <c r="P158" s="20"/>
      <c r="Q158" s="20"/>
      <c r="R158" s="196"/>
      <c r="S158" s="196"/>
      <c r="T158" s="196"/>
      <c r="U158" s="196"/>
      <c r="V158" s="196"/>
      <c r="W158" s="196"/>
    </row>
    <row r="159" spans="1:23" x14ac:dyDescent="0.2">
      <c r="A159" s="514" t="s">
        <v>188</v>
      </c>
      <c r="B159" s="521">
        <f>B158</f>
        <v>8</v>
      </c>
      <c r="C159" s="515">
        <f>R57</f>
        <v>4</v>
      </c>
      <c r="D159" s="520">
        <f>C159-1</f>
        <v>3</v>
      </c>
      <c r="E159" s="516">
        <f t="shared" si="70"/>
        <v>2</v>
      </c>
      <c r="F159" s="517">
        <f t="shared" si="71"/>
        <v>1</v>
      </c>
      <c r="G159" s="198">
        <v>0</v>
      </c>
      <c r="N159" s="20"/>
      <c r="O159" s="20"/>
      <c r="P159" s="20"/>
      <c r="Q159" s="20"/>
      <c r="R159" s="196"/>
      <c r="S159" s="196"/>
      <c r="T159" s="196"/>
      <c r="U159" s="196"/>
      <c r="V159" s="196"/>
      <c r="W159" s="196"/>
    </row>
    <row r="160" spans="1:23" x14ac:dyDescent="0.2">
      <c r="A160" s="514" t="s">
        <v>189</v>
      </c>
      <c r="B160" s="521">
        <f>R58</f>
        <v>11</v>
      </c>
      <c r="C160" s="515"/>
      <c r="D160" s="516">
        <f>B160-1</f>
        <v>10</v>
      </c>
      <c r="E160" s="516">
        <f t="shared" si="70"/>
        <v>2</v>
      </c>
      <c r="F160" s="517">
        <f t="shared" si="71"/>
        <v>1</v>
      </c>
      <c r="G160" s="198">
        <v>0</v>
      </c>
      <c r="N160" s="20"/>
      <c r="O160" s="20"/>
      <c r="P160" s="20"/>
      <c r="Q160" s="20"/>
      <c r="R160" s="196"/>
      <c r="S160" s="196"/>
      <c r="T160" s="196"/>
      <c r="U160" s="196"/>
      <c r="V160" s="196"/>
      <c r="W160" s="196"/>
    </row>
    <row r="161" spans="1:23" x14ac:dyDescent="0.2">
      <c r="A161" s="514" t="s">
        <v>190</v>
      </c>
      <c r="B161" s="521">
        <f>B160</f>
        <v>11</v>
      </c>
      <c r="C161" s="515">
        <f>R59</f>
        <v>7</v>
      </c>
      <c r="D161" s="520">
        <f>C161-1</f>
        <v>6</v>
      </c>
      <c r="E161" s="516">
        <f t="shared" si="70"/>
        <v>2</v>
      </c>
      <c r="F161" s="517">
        <f t="shared" si="71"/>
        <v>1</v>
      </c>
      <c r="G161" s="198">
        <v>0</v>
      </c>
      <c r="N161" s="20"/>
      <c r="O161" s="20"/>
      <c r="P161" s="20"/>
      <c r="Q161" s="20"/>
      <c r="R161" s="196"/>
      <c r="S161" s="196"/>
      <c r="T161" s="196"/>
      <c r="U161" s="196"/>
      <c r="V161" s="196"/>
      <c r="W161" s="196"/>
    </row>
    <row r="162" spans="1:23" x14ac:dyDescent="0.2">
      <c r="A162" s="514" t="s">
        <v>191</v>
      </c>
      <c r="B162" s="521">
        <f>R60</f>
        <v>13</v>
      </c>
      <c r="C162" s="515"/>
      <c r="D162" s="516">
        <f>B162-1</f>
        <v>12</v>
      </c>
      <c r="E162" s="516">
        <f t="shared" si="70"/>
        <v>5</v>
      </c>
      <c r="F162" s="517">
        <f t="shared" si="71"/>
        <v>4</v>
      </c>
      <c r="G162" s="198">
        <v>0</v>
      </c>
      <c r="N162" s="20"/>
      <c r="O162" s="20"/>
      <c r="P162" s="20"/>
      <c r="Q162" s="20"/>
      <c r="R162" s="196"/>
      <c r="S162" s="196"/>
      <c r="T162" s="196"/>
      <c r="U162" s="196"/>
      <c r="V162" s="196"/>
      <c r="W162" s="196"/>
    </row>
    <row r="163" spans="1:23" x14ac:dyDescent="0.2">
      <c r="A163" s="514" t="s">
        <v>192</v>
      </c>
      <c r="B163" s="521">
        <f>B162</f>
        <v>13</v>
      </c>
      <c r="C163" s="515">
        <f>R61</f>
        <v>9</v>
      </c>
      <c r="D163" s="520">
        <f>C163-1</f>
        <v>8</v>
      </c>
      <c r="E163" s="516">
        <f t="shared" si="70"/>
        <v>4</v>
      </c>
      <c r="F163" s="517">
        <f t="shared" si="71"/>
        <v>3</v>
      </c>
      <c r="G163" s="198">
        <v>0</v>
      </c>
      <c r="N163" s="20"/>
      <c r="O163" s="20"/>
      <c r="P163" s="20"/>
      <c r="Q163" s="20"/>
      <c r="R163" s="196"/>
      <c r="S163" s="196"/>
      <c r="T163" s="196"/>
      <c r="U163" s="196"/>
      <c r="V163" s="196"/>
      <c r="W163" s="196"/>
    </row>
    <row r="164" spans="1:23" x14ac:dyDescent="0.2">
      <c r="A164" s="514" t="s">
        <v>193</v>
      </c>
      <c r="B164" s="521">
        <f>R62</f>
        <v>11</v>
      </c>
      <c r="C164" s="515"/>
      <c r="D164" s="516">
        <f>B164-1</f>
        <v>10</v>
      </c>
      <c r="E164" s="516">
        <f t="shared" si="70"/>
        <v>5</v>
      </c>
      <c r="F164" s="517">
        <f t="shared" si="71"/>
        <v>4</v>
      </c>
      <c r="G164" s="198">
        <v>0</v>
      </c>
      <c r="N164" s="20"/>
      <c r="O164" s="20"/>
      <c r="P164" s="20"/>
      <c r="Q164" s="20"/>
      <c r="R164" s="196"/>
      <c r="S164" s="196"/>
      <c r="T164" s="196"/>
      <c r="U164" s="196"/>
      <c r="V164" s="196"/>
      <c r="W164" s="196"/>
    </row>
    <row r="165" spans="1:23" x14ac:dyDescent="0.2">
      <c r="A165" s="514" t="s">
        <v>194</v>
      </c>
      <c r="B165" s="521">
        <f>B164</f>
        <v>11</v>
      </c>
      <c r="C165" s="515">
        <f>R63</f>
        <v>7</v>
      </c>
      <c r="D165" s="520">
        <f>C165-1</f>
        <v>6</v>
      </c>
      <c r="E165" s="516">
        <f t="shared" si="70"/>
        <v>4</v>
      </c>
      <c r="F165" s="517">
        <f t="shared" si="71"/>
        <v>3</v>
      </c>
      <c r="G165" s="198">
        <v>0</v>
      </c>
      <c r="N165" s="20"/>
      <c r="O165" s="20"/>
      <c r="P165" s="20"/>
      <c r="Q165" s="20"/>
      <c r="R165" s="196"/>
      <c r="S165" s="196"/>
      <c r="T165" s="196"/>
      <c r="U165" s="196"/>
      <c r="V165" s="196"/>
      <c r="W165" s="196"/>
    </row>
    <row r="166" spans="1:23" x14ac:dyDescent="0.2">
      <c r="A166" s="514" t="s">
        <v>195</v>
      </c>
      <c r="B166" s="521">
        <f>R64</f>
        <v>12</v>
      </c>
      <c r="C166" s="515"/>
      <c r="D166" s="516">
        <f>B166-1</f>
        <v>11</v>
      </c>
      <c r="E166" s="516">
        <f t="shared" si="70"/>
        <v>5</v>
      </c>
      <c r="F166" s="517">
        <f t="shared" si="71"/>
        <v>4</v>
      </c>
      <c r="G166" s="198">
        <v>0</v>
      </c>
      <c r="N166" s="20"/>
      <c r="O166" s="20"/>
      <c r="P166" s="20"/>
      <c r="Q166" s="20"/>
      <c r="R166" s="196"/>
      <c r="S166" s="196"/>
      <c r="T166" s="196"/>
      <c r="U166" s="196"/>
      <c r="V166" s="196"/>
      <c r="W166" s="196"/>
    </row>
    <row r="167" spans="1:23" ht="13.5" thickBot="1" x14ac:dyDescent="0.25">
      <c r="A167" s="522" t="s">
        <v>196</v>
      </c>
      <c r="B167" s="523">
        <f>B166</f>
        <v>12</v>
      </c>
      <c r="C167" s="523">
        <f>R65</f>
        <v>8</v>
      </c>
      <c r="D167" s="524">
        <f>C167-1</f>
        <v>7</v>
      </c>
      <c r="E167" s="524">
        <f t="shared" si="70"/>
        <v>4</v>
      </c>
      <c r="F167" s="525">
        <f t="shared" si="71"/>
        <v>3</v>
      </c>
      <c r="G167" s="526">
        <v>0</v>
      </c>
      <c r="N167" s="20"/>
      <c r="O167" s="20"/>
      <c r="P167" s="20"/>
      <c r="Q167" s="20"/>
      <c r="R167" s="196"/>
      <c r="S167" s="196"/>
      <c r="T167" s="196"/>
      <c r="U167" s="196"/>
      <c r="V167" s="196"/>
      <c r="W167" s="196"/>
    </row>
    <row r="168" spans="1:23" x14ac:dyDescent="0.2">
      <c r="N168" s="20"/>
      <c r="O168" s="20"/>
      <c r="P168" s="20"/>
      <c r="Q168" s="20"/>
      <c r="R168" s="20"/>
      <c r="S168" s="20"/>
      <c r="T168" s="20"/>
      <c r="U168" s="20"/>
      <c r="V168" s="20"/>
      <c r="W168" s="20"/>
    </row>
    <row r="170" spans="1:23" x14ac:dyDescent="0.2">
      <c r="A170" s="349" t="s">
        <v>254</v>
      </c>
      <c r="B170" s="349" t="s">
        <v>255</v>
      </c>
    </row>
    <row r="171" spans="1:23" x14ac:dyDescent="0.2">
      <c r="A171" s="527" t="s">
        <v>256</v>
      </c>
      <c r="B171" s="528">
        <f>HLOOKUP($B$170,'EA-18G Mission System Summary'!$B$1:$G$12,2,FALSE)</f>
        <v>0.87842811486852879</v>
      </c>
    </row>
    <row r="172" spans="1:23" x14ac:dyDescent="0.2">
      <c r="A172" s="527" t="str">
        <f t="shared" ref="A172:A180" si="72">A39</f>
        <v>Ready EA-18G Advanced Threat Mission Systems (C)</v>
      </c>
      <c r="B172" s="528">
        <f>HLOOKUP($B$170,'EA-18G Mission System Summary'!$B$1:$G$12,3,FALSE)</f>
        <v>0.17640194425352435</v>
      </c>
    </row>
    <row r="173" spans="1:23" x14ac:dyDescent="0.2">
      <c r="A173" s="527" t="str">
        <f t="shared" si="72"/>
        <v>Ready EA-18G HARM Mission Systems (D)</v>
      </c>
      <c r="B173" s="528">
        <f>HLOOKUP($B$170,'EA-18G Mission System Summary'!$B$1:$G$12,4,FALSE)</f>
        <v>0.81168628885911076</v>
      </c>
    </row>
    <row r="174" spans="1:23" x14ac:dyDescent="0.2">
      <c r="A174" s="527" t="str">
        <f t="shared" si="72"/>
        <v>Ready EA-18G AMRAAM Mission Systems (E)</v>
      </c>
      <c r="B174" s="528">
        <f>HLOOKUP($B$170,'EA-18G Mission System Summary'!$B$1:$G$12,5,FALSE)</f>
        <v>0.8235980557464756</v>
      </c>
    </row>
    <row r="175" spans="1:23" x14ac:dyDescent="0.2">
      <c r="A175" s="527" t="str">
        <f t="shared" si="72"/>
        <v>Ready EA-18G Ready Survivablity Mission System (F)</v>
      </c>
      <c r="B175" s="528">
        <f>HLOOKUP($B$170,'EA-18G Mission System Summary'!$B$1:$G$12,6,FALSE)</f>
        <v>0.81168628885911076</v>
      </c>
    </row>
    <row r="176" spans="1:23" x14ac:dyDescent="0.2">
      <c r="A176" s="527" t="str">
        <f t="shared" si="72"/>
        <v>Ready EA-18G Airborn Electronic Attack (AEA) System (G)</v>
      </c>
      <c r="B176" s="528">
        <f>HLOOKUP($B$170,'EA-18G Mission System Summary'!$B$1:$G$12,7,FALSE)</f>
        <v>0.8235980557464756</v>
      </c>
    </row>
    <row r="177" spans="1:2" x14ac:dyDescent="0.2">
      <c r="A177" s="527" t="str">
        <f t="shared" si="72"/>
        <v>Ready EA-18G Air Refueling System (I)</v>
      </c>
      <c r="B177" s="528">
        <f>HLOOKUP($B$170,'EA-18G Mission System Summary'!$B$1:$G$12,8,FALSE)</f>
        <v>0.17640194425352435</v>
      </c>
    </row>
    <row r="178" spans="1:2" x14ac:dyDescent="0.2">
      <c r="A178" s="527" t="str">
        <f t="shared" si="72"/>
        <v>Ready EA-18G Ready Tactical Navigation Systems (J)</v>
      </c>
      <c r="B178" s="528">
        <f>HLOOKUP($B$170,'EA-18G Mission System Summary'!$B$1:$G$12,9,FALSE)</f>
        <v>0.8235980557464756</v>
      </c>
    </row>
    <row r="179" spans="1:2" x14ac:dyDescent="0.2">
      <c r="A179" s="527" t="str">
        <f t="shared" si="72"/>
        <v>Ready EA-18G Shipboard Mission Systems (K)</v>
      </c>
      <c r="B179" s="528">
        <f>HLOOKUP($B$170,'EA-18G Mission System Summary'!$B$1:$G$12,10,FALSE)</f>
        <v>0.17640194425352435</v>
      </c>
    </row>
    <row r="180" spans="1:2" x14ac:dyDescent="0.2">
      <c r="A180" s="527" t="str">
        <f t="shared" si="72"/>
        <v>Ready EA-18G IMC Flight Mission Systems (L)</v>
      </c>
      <c r="B180" s="528">
        <f>HLOOKUP($B$170,'EA-18G Mission System Summary'!$B$1:$G$12,11,FALSE)</f>
        <v>1</v>
      </c>
    </row>
  </sheetData>
  <mergeCells count="22">
    <mergeCell ref="R16:W16"/>
    <mergeCell ref="X16:AB16"/>
    <mergeCell ref="A1:G1"/>
    <mergeCell ref="M1:P1"/>
    <mergeCell ref="B16:G16"/>
    <mergeCell ref="H16:J16"/>
    <mergeCell ref="K16:M16"/>
    <mergeCell ref="N16:Q16"/>
    <mergeCell ref="AG17:AJ17"/>
    <mergeCell ref="AG28:AH28"/>
    <mergeCell ref="AG38:AH38"/>
    <mergeCell ref="F137:G137"/>
    <mergeCell ref="A103:B103"/>
    <mergeCell ref="A104:B104"/>
    <mergeCell ref="A118:B118"/>
    <mergeCell ref="A122:B122"/>
    <mergeCell ref="B137:C137"/>
    <mergeCell ref="D137:E137"/>
    <mergeCell ref="A93:AC93"/>
    <mergeCell ref="T137:U137"/>
    <mergeCell ref="V137:W137"/>
    <mergeCell ref="R137:S137"/>
  </mergeCells>
  <conditionalFormatting sqref="C151">
    <cfRule type="cellIs" dxfId="507" priority="174" operator="equal">
      <formula>B151</formula>
    </cfRule>
  </conditionalFormatting>
  <conditionalFormatting sqref="D151:E151">
    <cfRule type="cellIs" dxfId="506" priority="177" operator="equal">
      <formula>C151</formula>
    </cfRule>
  </conditionalFormatting>
  <conditionalFormatting sqref="F139">
    <cfRule type="cellIs" dxfId="505" priority="172" operator="equal">
      <formula>E139</formula>
    </cfRule>
  </conditionalFormatting>
  <conditionalFormatting sqref="F151">
    <cfRule type="cellIs" dxfId="504" priority="175" operator="equal">
      <formula>E151</formula>
    </cfRule>
    <cfRule type="cellIs" dxfId="503" priority="176" operator="equal">
      <formula>G151</formula>
    </cfRule>
  </conditionalFormatting>
  <conditionalFormatting sqref="F139">
    <cfRule type="cellIs" dxfId="502" priority="170" operator="equal">
      <formula>E139</formula>
    </cfRule>
  </conditionalFormatting>
  <conditionalFormatting sqref="F139">
    <cfRule type="cellIs" dxfId="501" priority="169" operator="equal">
      <formula>E139</formula>
    </cfRule>
  </conditionalFormatting>
  <conditionalFormatting sqref="D139">
    <cfRule type="cellIs" dxfId="500" priority="168" operator="equal">
      <formula>C139</formula>
    </cfRule>
  </conditionalFormatting>
  <conditionalFormatting sqref="E139">
    <cfRule type="cellIs" dxfId="499" priority="173" operator="equal">
      <formula>D139</formula>
    </cfRule>
  </conditionalFormatting>
  <conditionalFormatting sqref="F140:F141">
    <cfRule type="cellIs" dxfId="498" priority="167" operator="equal">
      <formula>E140</formula>
    </cfRule>
    <cfRule type="cellIs" dxfId="497" priority="171" operator="equal">
      <formula>G140</formula>
    </cfRule>
  </conditionalFormatting>
  <conditionalFormatting sqref="D139">
    <cfRule type="cellIs" dxfId="496" priority="178" operator="equal">
      <formula>C139</formula>
    </cfRule>
  </conditionalFormatting>
  <conditionalFormatting sqref="C139">
    <cfRule type="cellIs" dxfId="495" priority="163" operator="equal">
      <formula>B139</formula>
    </cfRule>
  </conditionalFormatting>
  <conditionalFormatting sqref="C140">
    <cfRule type="cellIs" dxfId="494" priority="162" operator="equal">
      <formula>B140</formula>
    </cfRule>
  </conditionalFormatting>
  <conditionalFormatting sqref="C143">
    <cfRule type="cellIs" dxfId="493" priority="155" operator="equal">
      <formula>B143</formula>
    </cfRule>
  </conditionalFormatting>
  <conditionalFormatting sqref="E140">
    <cfRule type="cellIs" dxfId="492" priority="159" operator="equal">
      <formula>D140</formula>
    </cfRule>
  </conditionalFormatting>
  <conditionalFormatting sqref="E149:E150">
    <cfRule type="cellIs" dxfId="491" priority="142" operator="equal">
      <formula>D149</formula>
    </cfRule>
  </conditionalFormatting>
  <conditionalFormatting sqref="F142">
    <cfRule type="cellIs" dxfId="490" priority="158" operator="equal">
      <formula>E142</formula>
    </cfRule>
  </conditionalFormatting>
  <conditionalFormatting sqref="C142">
    <cfRule type="cellIs" dxfId="489" priority="157" operator="equal">
      <formula>B142</formula>
    </cfRule>
  </conditionalFormatting>
  <conditionalFormatting sqref="E142">
    <cfRule type="cellIs" dxfId="488" priority="156" operator="equal">
      <formula>D142</formula>
    </cfRule>
  </conditionalFormatting>
  <conditionalFormatting sqref="E143">
    <cfRule type="cellIs" dxfId="487" priority="154" operator="equal">
      <formula>D143</formula>
    </cfRule>
  </conditionalFormatting>
  <conditionalFormatting sqref="C144">
    <cfRule type="cellIs" dxfId="486" priority="153" operator="equal">
      <formula>B144</formula>
    </cfRule>
  </conditionalFormatting>
  <conditionalFormatting sqref="E144">
    <cfRule type="cellIs" dxfId="485" priority="152" operator="equal">
      <formula>D144</formula>
    </cfRule>
  </conditionalFormatting>
  <conditionalFormatting sqref="C145">
    <cfRule type="cellIs" dxfId="484" priority="151" operator="equal">
      <formula>B145</formula>
    </cfRule>
  </conditionalFormatting>
  <conditionalFormatting sqref="E145">
    <cfRule type="cellIs" dxfId="483" priority="150" operator="equal">
      <formula>D145</formula>
    </cfRule>
  </conditionalFormatting>
  <conditionalFormatting sqref="C146">
    <cfRule type="cellIs" dxfId="482" priority="149" operator="equal">
      <formula>B146</formula>
    </cfRule>
  </conditionalFormatting>
  <conditionalFormatting sqref="E146">
    <cfRule type="cellIs" dxfId="481" priority="148" operator="equal">
      <formula>D146</formula>
    </cfRule>
  </conditionalFormatting>
  <conditionalFormatting sqref="C147">
    <cfRule type="cellIs" dxfId="480" priority="147" operator="equal">
      <formula>B147</formula>
    </cfRule>
  </conditionalFormatting>
  <conditionalFormatting sqref="E147">
    <cfRule type="cellIs" dxfId="479" priority="146" operator="equal">
      <formula>D147</formula>
    </cfRule>
  </conditionalFormatting>
  <conditionalFormatting sqref="C148">
    <cfRule type="cellIs" dxfId="478" priority="145" operator="equal">
      <formula>B148</formula>
    </cfRule>
  </conditionalFormatting>
  <conditionalFormatting sqref="E148">
    <cfRule type="cellIs" dxfId="477" priority="144" operator="equal">
      <formula>D148</formula>
    </cfRule>
  </conditionalFormatting>
  <conditionalFormatting sqref="C149:C150">
    <cfRule type="cellIs" dxfId="476" priority="143" operator="equal">
      <formula>B149</formula>
    </cfRule>
  </conditionalFormatting>
  <conditionalFormatting sqref="F143">
    <cfRule type="cellIs" dxfId="475" priority="141" operator="equal">
      <formula>E143</formula>
    </cfRule>
  </conditionalFormatting>
  <conditionalFormatting sqref="F144">
    <cfRule type="cellIs" dxfId="474" priority="140" operator="equal">
      <formula>E144</formula>
    </cfRule>
  </conditionalFormatting>
  <conditionalFormatting sqref="F145">
    <cfRule type="cellIs" dxfId="473" priority="139" operator="equal">
      <formula>E145</formula>
    </cfRule>
  </conditionalFormatting>
  <conditionalFormatting sqref="F146">
    <cfRule type="cellIs" dxfId="472" priority="138" operator="equal">
      <formula>E146</formula>
    </cfRule>
  </conditionalFormatting>
  <conditionalFormatting sqref="F147">
    <cfRule type="cellIs" dxfId="471" priority="137" operator="equal">
      <formula>E147</formula>
    </cfRule>
  </conditionalFormatting>
  <conditionalFormatting sqref="F148">
    <cfRule type="cellIs" dxfId="470" priority="136" operator="equal">
      <formula>E148</formula>
    </cfRule>
  </conditionalFormatting>
  <conditionalFormatting sqref="F149:F150">
    <cfRule type="cellIs" dxfId="469" priority="135" operator="equal">
      <formula>E149</formula>
    </cfRule>
  </conditionalFormatting>
  <conditionalFormatting sqref="S151">
    <cfRule type="cellIs" dxfId="468" priority="90" operator="equal">
      <formula>R151</formula>
    </cfRule>
  </conditionalFormatting>
  <conditionalFormatting sqref="T151:U151 T154:T159 T162:T163 T166:T167 U152:U167">
    <cfRule type="cellIs" dxfId="467" priority="93" operator="equal">
      <formula>S151</formula>
    </cfRule>
  </conditionalFormatting>
  <conditionalFormatting sqref="V139">
    <cfRule type="cellIs" dxfId="466" priority="88" operator="equal">
      <formula>U139</formula>
    </cfRule>
  </conditionalFormatting>
  <conditionalFormatting sqref="V151">
    <cfRule type="cellIs" dxfId="465" priority="91" operator="equal">
      <formula>U151</formula>
    </cfRule>
    <cfRule type="cellIs" dxfId="464" priority="92" operator="equal">
      <formula>W151</formula>
    </cfRule>
  </conditionalFormatting>
  <conditionalFormatting sqref="V139">
    <cfRule type="cellIs" dxfId="463" priority="86" operator="equal">
      <formula>U139</formula>
    </cfRule>
  </conditionalFormatting>
  <conditionalFormatting sqref="V139">
    <cfRule type="cellIs" dxfId="462" priority="85" operator="equal">
      <formula>U139</formula>
    </cfRule>
  </conditionalFormatting>
  <conditionalFormatting sqref="T139">
    <cfRule type="cellIs" dxfId="461" priority="84" operator="equal">
      <formula>S139</formula>
    </cfRule>
  </conditionalFormatting>
  <conditionalFormatting sqref="U139">
    <cfRule type="cellIs" dxfId="460" priority="89" operator="equal">
      <formula>T139</formula>
    </cfRule>
  </conditionalFormatting>
  <conditionalFormatting sqref="V140:V141">
    <cfRule type="cellIs" dxfId="459" priority="83" operator="equal">
      <formula>U140</formula>
    </cfRule>
    <cfRule type="cellIs" dxfId="458" priority="87" operator="equal">
      <formula>W140</formula>
    </cfRule>
  </conditionalFormatting>
  <conditionalFormatting sqref="T139">
    <cfRule type="cellIs" dxfId="457" priority="94" operator="equal">
      <formula>S139</formula>
    </cfRule>
  </conditionalFormatting>
  <conditionalFormatting sqref="T152:T153">
    <cfRule type="cellIs" dxfId="456" priority="82" operator="equal">
      <formula>S152</formula>
    </cfRule>
  </conditionalFormatting>
  <conditionalFormatting sqref="T160:T161">
    <cfRule type="cellIs" dxfId="455" priority="81" operator="equal">
      <formula>S160</formula>
    </cfRule>
  </conditionalFormatting>
  <conditionalFormatting sqref="T164:T165">
    <cfRule type="cellIs" dxfId="454" priority="80" operator="equal">
      <formula>S164</formula>
    </cfRule>
  </conditionalFormatting>
  <conditionalFormatting sqref="S139">
    <cfRule type="cellIs" dxfId="453" priority="79" operator="equal">
      <formula>R139</formula>
    </cfRule>
  </conditionalFormatting>
  <conditionalFormatting sqref="S140">
    <cfRule type="cellIs" dxfId="452" priority="78" operator="equal">
      <formula>R140</formula>
    </cfRule>
  </conditionalFormatting>
  <conditionalFormatting sqref="S143">
    <cfRule type="cellIs" dxfId="451" priority="71" operator="equal">
      <formula>R143</formula>
    </cfRule>
  </conditionalFormatting>
  <conditionalFormatting sqref="S152 S154 S156 S158 S160 S164 S166">
    <cfRule type="cellIs" dxfId="450" priority="77" operator="equal">
      <formula>R152</formula>
    </cfRule>
  </conditionalFormatting>
  <conditionalFormatting sqref="U140">
    <cfRule type="cellIs" dxfId="449" priority="75" operator="equal">
      <formula>T140</formula>
    </cfRule>
  </conditionalFormatting>
  <conditionalFormatting sqref="U149:U150">
    <cfRule type="cellIs" dxfId="448" priority="58" operator="equal">
      <formula>T149</formula>
    </cfRule>
  </conditionalFormatting>
  <conditionalFormatting sqref="V142">
    <cfRule type="cellIs" dxfId="447" priority="74" operator="equal">
      <formula>U142</formula>
    </cfRule>
  </conditionalFormatting>
  <conditionalFormatting sqref="S142">
    <cfRule type="cellIs" dxfId="446" priority="73" operator="equal">
      <formula>R142</formula>
    </cfRule>
  </conditionalFormatting>
  <conditionalFormatting sqref="U142">
    <cfRule type="cellIs" dxfId="445" priority="72" operator="equal">
      <formula>T142</formula>
    </cfRule>
  </conditionalFormatting>
  <conditionalFormatting sqref="U143">
    <cfRule type="cellIs" dxfId="444" priority="70" operator="equal">
      <formula>T143</formula>
    </cfRule>
  </conditionalFormatting>
  <conditionalFormatting sqref="S144">
    <cfRule type="cellIs" dxfId="443" priority="69" operator="equal">
      <formula>R144</formula>
    </cfRule>
  </conditionalFormatting>
  <conditionalFormatting sqref="U144">
    <cfRule type="cellIs" dxfId="442" priority="68" operator="equal">
      <formula>T144</formula>
    </cfRule>
  </conditionalFormatting>
  <conditionalFormatting sqref="S145">
    <cfRule type="cellIs" dxfId="441" priority="67" operator="equal">
      <formula>R145</formula>
    </cfRule>
  </conditionalFormatting>
  <conditionalFormatting sqref="U145">
    <cfRule type="cellIs" dxfId="440" priority="66" operator="equal">
      <formula>T145</formula>
    </cfRule>
  </conditionalFormatting>
  <conditionalFormatting sqref="S146">
    <cfRule type="cellIs" dxfId="439" priority="65" operator="equal">
      <formula>R146</formula>
    </cfRule>
  </conditionalFormatting>
  <conditionalFormatting sqref="U146">
    <cfRule type="cellIs" dxfId="438" priority="64" operator="equal">
      <formula>T146</formula>
    </cfRule>
  </conditionalFormatting>
  <conditionalFormatting sqref="S147">
    <cfRule type="cellIs" dxfId="437" priority="63" operator="equal">
      <formula>R147</formula>
    </cfRule>
  </conditionalFormatting>
  <conditionalFormatting sqref="U147">
    <cfRule type="cellIs" dxfId="436" priority="62" operator="equal">
      <formula>T147</formula>
    </cfRule>
  </conditionalFormatting>
  <conditionalFormatting sqref="S148">
    <cfRule type="cellIs" dxfId="435" priority="61" operator="equal">
      <formula>R148</formula>
    </cfRule>
  </conditionalFormatting>
  <conditionalFormatting sqref="U148">
    <cfRule type="cellIs" dxfId="434" priority="60" operator="equal">
      <formula>T148</formula>
    </cfRule>
  </conditionalFormatting>
  <conditionalFormatting sqref="S149:S150">
    <cfRule type="cellIs" dxfId="433" priority="59" operator="equal">
      <formula>R149</formula>
    </cfRule>
  </conditionalFormatting>
  <conditionalFormatting sqref="V143">
    <cfRule type="cellIs" dxfId="432" priority="57" operator="equal">
      <formula>U143</formula>
    </cfRule>
  </conditionalFormatting>
  <conditionalFormatting sqref="V144">
    <cfRule type="cellIs" dxfId="431" priority="56" operator="equal">
      <formula>U144</formula>
    </cfRule>
  </conditionalFormatting>
  <conditionalFormatting sqref="V145">
    <cfRule type="cellIs" dxfId="430" priority="55" operator="equal">
      <formula>U145</formula>
    </cfRule>
  </conditionalFormatting>
  <conditionalFormatting sqref="V146">
    <cfRule type="cellIs" dxfId="429" priority="54" operator="equal">
      <formula>U146</formula>
    </cfRule>
  </conditionalFormatting>
  <conditionalFormatting sqref="V147">
    <cfRule type="cellIs" dxfId="428" priority="53" operator="equal">
      <formula>U147</formula>
    </cfRule>
  </conditionalFormatting>
  <conditionalFormatting sqref="V148">
    <cfRule type="cellIs" dxfId="427" priority="52" operator="equal">
      <formula>U148</formula>
    </cfRule>
  </conditionalFormatting>
  <conditionalFormatting sqref="V149:V150">
    <cfRule type="cellIs" dxfId="426" priority="51" operator="equal">
      <formula>U149</formula>
    </cfRule>
  </conditionalFormatting>
  <conditionalFormatting sqref="V152">
    <cfRule type="cellIs" dxfId="425" priority="50" operator="equal">
      <formula>U152</formula>
    </cfRule>
  </conditionalFormatting>
  <conditionalFormatting sqref="V153">
    <cfRule type="cellIs" dxfId="424" priority="49" operator="equal">
      <formula>U153</formula>
    </cfRule>
  </conditionalFormatting>
  <conditionalFormatting sqref="V154">
    <cfRule type="cellIs" dxfId="423" priority="48" operator="equal">
      <formula>U154</formula>
    </cfRule>
  </conditionalFormatting>
  <conditionalFormatting sqref="V155">
    <cfRule type="cellIs" dxfId="422" priority="47" operator="equal">
      <formula>U155</formula>
    </cfRule>
  </conditionalFormatting>
  <conditionalFormatting sqref="V156">
    <cfRule type="cellIs" dxfId="421" priority="46" operator="equal">
      <formula>U156</formula>
    </cfRule>
  </conditionalFormatting>
  <conditionalFormatting sqref="V157">
    <cfRule type="cellIs" dxfId="420" priority="45" operator="equal">
      <formula>U157</formula>
    </cfRule>
  </conditionalFormatting>
  <conditionalFormatting sqref="V158">
    <cfRule type="cellIs" dxfId="419" priority="44" operator="equal">
      <formula>U158</formula>
    </cfRule>
  </conditionalFormatting>
  <conditionalFormatting sqref="V159">
    <cfRule type="cellIs" dxfId="418" priority="43" operator="equal">
      <formula>U159</formula>
    </cfRule>
  </conditionalFormatting>
  <conditionalFormatting sqref="V160">
    <cfRule type="cellIs" dxfId="417" priority="42" operator="equal">
      <formula>U160</formula>
    </cfRule>
  </conditionalFormatting>
  <conditionalFormatting sqref="V161">
    <cfRule type="cellIs" dxfId="416" priority="41" operator="equal">
      <formula>U161</formula>
    </cfRule>
  </conditionalFormatting>
  <conditionalFormatting sqref="V162">
    <cfRule type="cellIs" dxfId="415" priority="40" operator="equal">
      <formula>U162</formula>
    </cfRule>
  </conditionalFormatting>
  <conditionalFormatting sqref="V163">
    <cfRule type="cellIs" dxfId="414" priority="39" operator="equal">
      <formula>U163</formula>
    </cfRule>
  </conditionalFormatting>
  <conditionalFormatting sqref="V164">
    <cfRule type="cellIs" dxfId="413" priority="38" operator="equal">
      <formula>U164</formula>
    </cfRule>
  </conditionalFormatting>
  <conditionalFormatting sqref="V165">
    <cfRule type="cellIs" dxfId="412" priority="37" operator="equal">
      <formula>U165</formula>
    </cfRule>
  </conditionalFormatting>
  <conditionalFormatting sqref="V166">
    <cfRule type="cellIs" dxfId="411" priority="36" operator="equal">
      <formula>U166</formula>
    </cfRule>
  </conditionalFormatting>
  <conditionalFormatting sqref="V167">
    <cfRule type="cellIs" dxfId="410" priority="35" operator="equal">
      <formula>U167</formula>
    </cfRule>
  </conditionalFormatting>
  <conditionalFormatting sqref="S153">
    <cfRule type="cellIs" dxfId="409" priority="34" operator="equal">
      <formula>R153</formula>
    </cfRule>
  </conditionalFormatting>
  <conditionalFormatting sqref="S155">
    <cfRule type="cellIs" dxfId="408" priority="32" operator="equal">
      <formula>R155</formula>
    </cfRule>
  </conditionalFormatting>
  <conditionalFormatting sqref="S157">
    <cfRule type="cellIs" dxfId="407" priority="31" operator="equal">
      <formula>R157</formula>
    </cfRule>
  </conditionalFormatting>
  <conditionalFormatting sqref="S159">
    <cfRule type="cellIs" dxfId="406" priority="30" operator="equal">
      <formula>R159</formula>
    </cfRule>
  </conditionalFormatting>
  <conditionalFormatting sqref="S161">
    <cfRule type="cellIs" dxfId="405" priority="29" operator="equal">
      <formula>R161</formula>
    </cfRule>
  </conditionalFormatting>
  <conditionalFormatting sqref="S163">
    <cfRule type="cellIs" dxfId="404" priority="28" operator="equal">
      <formula>R163</formula>
    </cfRule>
  </conditionalFormatting>
  <conditionalFormatting sqref="S165">
    <cfRule type="cellIs" dxfId="403" priority="27" operator="equal">
      <formula>R165</formula>
    </cfRule>
  </conditionalFormatting>
  <conditionalFormatting sqref="S167">
    <cfRule type="cellIs" dxfId="402" priority="26" operator="equal">
      <formula>R167</formula>
    </cfRule>
  </conditionalFormatting>
  <conditionalFormatting sqref="S162">
    <cfRule type="cellIs" dxfId="401" priority="25" operator="equal">
      <formula>R162</formula>
    </cfRule>
  </conditionalFormatting>
  <conditionalFormatting sqref="E152:E167">
    <cfRule type="cellIs" dxfId="400" priority="19" operator="equal">
      <formula>D152</formula>
    </cfRule>
  </conditionalFormatting>
  <conditionalFormatting sqref="D152:D153">
    <cfRule type="cellIs" dxfId="399" priority="24" operator="equal">
      <formula>C152</formula>
    </cfRule>
  </conditionalFormatting>
  <conditionalFormatting sqref="F152:F167">
    <cfRule type="cellIs" dxfId="398" priority="22" operator="equal">
      <formula>E152</formula>
    </cfRule>
    <cfRule type="cellIs" dxfId="397" priority="23" operator="equal">
      <formula>G152</formula>
    </cfRule>
  </conditionalFormatting>
  <conditionalFormatting sqref="C152 C154 C156 C158 C160">
    <cfRule type="cellIs" dxfId="396" priority="21" operator="equal">
      <formula>B152</formula>
    </cfRule>
  </conditionalFormatting>
  <conditionalFormatting sqref="C162">
    <cfRule type="cellIs" dxfId="395" priority="20" operator="equal">
      <formula>B162</formula>
    </cfRule>
  </conditionalFormatting>
  <conditionalFormatting sqref="C153">
    <cfRule type="cellIs" dxfId="394" priority="18" operator="equal">
      <formula>B153</formula>
    </cfRule>
  </conditionalFormatting>
  <conditionalFormatting sqref="C164 C166">
    <cfRule type="cellIs" dxfId="393" priority="17" operator="equal">
      <formula>B164</formula>
    </cfRule>
  </conditionalFormatting>
  <conditionalFormatting sqref="C155">
    <cfRule type="cellIs" dxfId="392" priority="16" operator="equal">
      <formula>B155</formula>
    </cfRule>
  </conditionalFormatting>
  <conditionalFormatting sqref="C157">
    <cfRule type="cellIs" dxfId="391" priority="15" operator="equal">
      <formula>B157</formula>
    </cfRule>
  </conditionalFormatting>
  <conditionalFormatting sqref="C159">
    <cfRule type="cellIs" dxfId="390" priority="14" operator="equal">
      <formula>B159</formula>
    </cfRule>
  </conditionalFormatting>
  <conditionalFormatting sqref="C161">
    <cfRule type="cellIs" dxfId="389" priority="13" operator="equal">
      <formula>B161</formula>
    </cfRule>
  </conditionalFormatting>
  <conditionalFormatting sqref="C163">
    <cfRule type="cellIs" dxfId="388" priority="12" operator="equal">
      <formula>B163</formula>
    </cfRule>
  </conditionalFormatting>
  <conditionalFormatting sqref="C165">
    <cfRule type="cellIs" dxfId="387" priority="11" operator="equal">
      <formula>B165</formula>
    </cfRule>
  </conditionalFormatting>
  <conditionalFormatting sqref="C167">
    <cfRule type="cellIs" dxfId="386" priority="10" operator="equal">
      <formula>B167</formula>
    </cfRule>
  </conditionalFormatting>
  <conditionalFormatting sqref="D154:D155">
    <cfRule type="cellIs" dxfId="385" priority="9" operator="equal">
      <formula>C154</formula>
    </cfRule>
  </conditionalFormatting>
  <conditionalFormatting sqref="D156:D157">
    <cfRule type="cellIs" dxfId="384" priority="8" operator="equal">
      <formula>C156</formula>
    </cfRule>
  </conditionalFormatting>
  <conditionalFormatting sqref="D158:D159">
    <cfRule type="cellIs" dxfId="383" priority="7" operator="equal">
      <formula>C158</formula>
    </cfRule>
  </conditionalFormatting>
  <conditionalFormatting sqref="D160:D161">
    <cfRule type="cellIs" dxfId="382" priority="6" operator="equal">
      <formula>C160</formula>
    </cfRule>
  </conditionalFormatting>
  <conditionalFormatting sqref="D162:D163">
    <cfRule type="cellIs" dxfId="381" priority="5" operator="equal">
      <formula>C162</formula>
    </cfRule>
  </conditionalFormatting>
  <conditionalFormatting sqref="D164:D165">
    <cfRule type="cellIs" dxfId="380" priority="4" operator="equal">
      <formula>C164</formula>
    </cfRule>
  </conditionalFormatting>
  <conditionalFormatting sqref="D166:D167">
    <cfRule type="cellIs" dxfId="379" priority="3" operator="equal">
      <formula>C166</formula>
    </cfRule>
  </conditionalFormatting>
  <conditionalFormatting sqref="B66:AC67">
    <cfRule type="cellIs" dxfId="378" priority="98" operator="notEqual">
      <formula>#REF!</formula>
    </cfRule>
  </conditionalFormatting>
  <conditionalFormatting sqref="B124:B135">
    <cfRule type="cellIs" dxfId="377" priority="97" operator="notEqual">
      <formula>#REF!</formula>
    </cfRule>
  </conditionalFormatting>
  <dataValidations count="1">
    <dataValidation type="list" allowBlank="1" showInputMessage="1" showErrorMessage="1" sqref="AH20" xr:uid="{00000000-0002-0000-0200-000000000000}">
      <formula1>$B$14:$AB$14</formula1>
    </dataValidation>
  </dataValidations>
  <hyperlinks>
    <hyperlink ref="H1" location="Inventory!A1" display="Inventory" xr:uid="{00000000-0004-0000-0200-000000000000}"/>
    <hyperlink ref="H1:I1" location="Inventory!A1" display="Inventory" xr:uid="{00000000-0004-0000-0200-000001000000}"/>
    <hyperlink ref="H2" location="'VAQ (5 EA-18G CVW)'!A167" display="AMFOM" xr:uid="{00000000-0004-0000-0200-000002000000}"/>
    <hyperlink ref="J137" location="Inventory!A1" display="Inventory" xr:uid="{00000000-0004-0000-0200-000003000000}"/>
    <hyperlink ref="J138" location="'VAQ (5 EA-18G CVW)'!A1" display="Top" xr:uid="{00000000-0004-0000-0200-000004000000}"/>
  </hyperlinks>
  <printOptions horizontalCentered="1" verticalCentered="1"/>
  <pageMargins left="0.25" right="0.25" top="0.75" bottom="0.75" header="0.3" footer="0.3"/>
  <pageSetup scale="24" orientation="landscape" r:id="rId1"/>
  <headerFooter alignWithMargins="0"/>
  <ignoredErrors>
    <ignoredError sqref="I62:I63 K62:M62 K63:M63 AH30:AH31"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180"/>
  <sheetViews>
    <sheetView showGridLines="0" zoomScale="120" zoomScaleNormal="120" zoomScaleSheetLayoutView="55" workbookViewId="0">
      <selection activeCell="P54" sqref="P54"/>
    </sheetView>
  </sheetViews>
  <sheetFormatPr defaultColWidth="8.85546875" defaultRowHeight="12.75" x14ac:dyDescent="0.2"/>
  <cols>
    <col min="1" max="1" width="45.85546875" style="7" customWidth="1"/>
    <col min="2" max="29" width="5.7109375" style="7" customWidth="1"/>
    <col min="30" max="30" width="6.28515625" style="85" bestFit="1" customWidth="1"/>
    <col min="31" max="31" width="5.7109375" style="85" customWidth="1"/>
    <col min="32" max="37" width="20.7109375" style="7" customWidth="1"/>
    <col min="38" max="16384" width="8.85546875" style="7"/>
  </cols>
  <sheetData>
    <row r="1" spans="1:37" s="1" customFormat="1" ht="18.75" x14ac:dyDescent="0.3">
      <c r="A1" s="647" t="s">
        <v>257</v>
      </c>
      <c r="B1" s="647"/>
      <c r="C1" s="647"/>
      <c r="D1" s="647"/>
      <c r="E1" s="647"/>
      <c r="F1" s="647"/>
      <c r="G1" s="647"/>
      <c r="H1" s="80" t="s">
        <v>63</v>
      </c>
      <c r="I1" s="82"/>
      <c r="K1" s="83"/>
      <c r="L1" s="132" t="s">
        <v>2</v>
      </c>
      <c r="M1" s="648">
        <v>44835</v>
      </c>
      <c r="N1" s="649"/>
      <c r="O1" s="650"/>
      <c r="P1" s="650"/>
      <c r="U1" s="134"/>
      <c r="AC1" s="1" t="s">
        <v>64</v>
      </c>
      <c r="AD1" s="311">
        <v>5.0199999999999996</v>
      </c>
      <c r="AE1" s="85"/>
    </row>
    <row r="2" spans="1:37" s="3" customFormat="1" x14ac:dyDescent="0.2">
      <c r="A2" s="27" t="s">
        <v>65</v>
      </c>
      <c r="B2" s="28">
        <v>7</v>
      </c>
      <c r="C2" s="29"/>
      <c r="D2" s="30"/>
      <c r="E2" s="27"/>
      <c r="F2" s="30"/>
      <c r="H2" s="343" t="s">
        <v>3</v>
      </c>
      <c r="N2" s="4"/>
      <c r="O2" s="4"/>
      <c r="P2" s="4"/>
      <c r="Q2" s="4"/>
      <c r="R2" s="2"/>
      <c r="S2" s="2"/>
      <c r="T2" s="2"/>
      <c r="U2" s="2"/>
      <c r="V2" s="2"/>
      <c r="W2" s="2"/>
      <c r="X2" s="2"/>
      <c r="Y2" s="2"/>
      <c r="Z2" s="2"/>
      <c r="AA2" s="2"/>
      <c r="AB2" s="2"/>
      <c r="AC2" s="2"/>
      <c r="AD2" s="86"/>
      <c r="AE2" s="86"/>
    </row>
    <row r="3" spans="1:37" s="3" customFormat="1" ht="11.25" x14ac:dyDescent="0.2">
      <c r="A3" s="27" t="s">
        <v>66</v>
      </c>
      <c r="B3" s="31">
        <v>1.8</v>
      </c>
      <c r="C3" s="29"/>
      <c r="D3" s="30"/>
      <c r="E3" s="27"/>
      <c r="F3" s="30"/>
      <c r="I3" s="2"/>
      <c r="J3" s="2"/>
      <c r="K3" s="2"/>
      <c r="N3" s="4"/>
      <c r="O3" s="4"/>
      <c r="P3" s="4"/>
      <c r="Q3" s="4"/>
      <c r="R3" s="2"/>
      <c r="S3" s="2"/>
      <c r="T3" s="2"/>
      <c r="U3" s="2"/>
      <c r="V3" s="2"/>
      <c r="W3" s="2"/>
      <c r="X3" s="2"/>
      <c r="Y3" s="2"/>
      <c r="Z3" s="2"/>
      <c r="AA3" s="2"/>
      <c r="AB3" s="2"/>
      <c r="AC3" s="2"/>
      <c r="AD3" s="86"/>
      <c r="AE3" s="86"/>
    </row>
    <row r="4" spans="1:37" s="3" customFormat="1" ht="11.25" x14ac:dyDescent="0.2">
      <c r="A4" s="27" t="s">
        <v>67</v>
      </c>
      <c r="B4" s="28">
        <f>ROUND(B2*B3,0)</f>
        <v>13</v>
      </c>
      <c r="C4" s="29"/>
      <c r="D4" s="30"/>
      <c r="E4" s="27"/>
      <c r="F4" s="30"/>
      <c r="G4" s="2"/>
      <c r="H4" s="2"/>
      <c r="I4" s="2"/>
      <c r="J4" s="2"/>
      <c r="K4" s="2"/>
      <c r="N4" s="4"/>
      <c r="O4" s="4"/>
      <c r="P4" s="4"/>
      <c r="Q4" s="4"/>
      <c r="R4" s="2"/>
      <c r="S4" s="2"/>
      <c r="T4" s="2"/>
      <c r="U4" s="2"/>
      <c r="V4" s="2"/>
      <c r="W4" s="2"/>
      <c r="X4" s="2"/>
      <c r="Y4" s="2"/>
      <c r="Z4" s="2"/>
      <c r="AA4" s="2"/>
      <c r="AB4" s="2"/>
      <c r="AC4" s="2"/>
      <c r="AD4" s="86"/>
      <c r="AE4" s="86"/>
    </row>
    <row r="5" spans="1:37" s="3" customFormat="1" ht="11.25" x14ac:dyDescent="0.2">
      <c r="A5" s="27" t="s">
        <v>68</v>
      </c>
      <c r="B5" s="29">
        <v>1.5</v>
      </c>
      <c r="C5" s="32"/>
      <c r="D5" s="30"/>
      <c r="E5" s="27"/>
      <c r="F5" s="30"/>
      <c r="G5" s="2"/>
      <c r="H5" s="2"/>
      <c r="I5" s="2"/>
      <c r="J5" s="2"/>
      <c r="K5" s="2"/>
      <c r="N5" s="4"/>
      <c r="O5" s="4"/>
      <c r="P5" s="4"/>
      <c r="Q5" s="4"/>
      <c r="R5" s="2"/>
      <c r="S5" s="2"/>
      <c r="T5" s="2"/>
      <c r="U5" s="2"/>
      <c r="V5" s="2"/>
      <c r="W5" s="2"/>
      <c r="X5" s="2"/>
      <c r="Y5" s="2"/>
      <c r="Z5" s="2"/>
      <c r="AB5" s="2"/>
      <c r="AC5" s="2"/>
      <c r="AD5" s="86"/>
      <c r="AE5" s="86"/>
    </row>
    <row r="6" spans="1:37" s="3" customFormat="1" ht="11.25" x14ac:dyDescent="0.2">
      <c r="A6" s="33" t="s">
        <v>69</v>
      </c>
      <c r="B6" s="29">
        <v>27</v>
      </c>
      <c r="C6" s="32"/>
      <c r="D6" s="30"/>
      <c r="E6" s="33"/>
      <c r="F6" s="30"/>
      <c r="G6" s="2"/>
      <c r="H6" s="2"/>
      <c r="I6" s="2"/>
      <c r="J6" s="2"/>
      <c r="K6" s="2"/>
      <c r="L6" s="4"/>
      <c r="M6" s="4"/>
      <c r="N6" s="4"/>
      <c r="O6" s="4"/>
      <c r="P6" s="4"/>
      <c r="Q6" s="4"/>
      <c r="R6" s="2"/>
      <c r="S6" s="2"/>
      <c r="T6" s="2"/>
      <c r="U6" s="2"/>
      <c r="V6" s="2"/>
      <c r="W6" s="2"/>
      <c r="X6" s="2"/>
      <c r="Y6" s="2"/>
      <c r="Z6" s="2"/>
      <c r="AA6" s="2"/>
      <c r="AB6" s="2"/>
      <c r="AC6" s="2"/>
      <c r="AD6" s="86"/>
      <c r="AE6" s="86"/>
      <c r="AF6" s="59"/>
    </row>
    <row r="7" spans="1:37" s="3" customFormat="1" ht="11.25" x14ac:dyDescent="0.2">
      <c r="A7" s="27" t="s">
        <v>70</v>
      </c>
      <c r="B7" s="29">
        <f>B6*B4</f>
        <v>351</v>
      </c>
      <c r="C7" s="34"/>
      <c r="D7" s="35"/>
      <c r="E7" s="27"/>
      <c r="F7" s="30"/>
      <c r="G7" s="2"/>
      <c r="H7" s="2"/>
      <c r="I7" s="2"/>
      <c r="J7" s="2"/>
      <c r="K7" s="2"/>
      <c r="L7" s="2"/>
      <c r="M7" s="2"/>
      <c r="N7" s="2"/>
      <c r="O7" s="2"/>
      <c r="P7" s="2"/>
      <c r="Q7" s="2"/>
      <c r="R7" s="2"/>
      <c r="S7" s="2"/>
      <c r="T7" s="2"/>
      <c r="U7" s="2"/>
      <c r="V7" s="2"/>
      <c r="W7" s="2"/>
      <c r="X7" s="2"/>
      <c r="Y7" s="2"/>
      <c r="Z7" s="2"/>
      <c r="AA7" s="2"/>
      <c r="AB7" s="2"/>
      <c r="AC7" s="2"/>
      <c r="AD7" s="86"/>
      <c r="AE7" s="86"/>
    </row>
    <row r="8" spans="1:37" s="3" customFormat="1" ht="11.25" x14ac:dyDescent="0.2">
      <c r="A8" s="27" t="s">
        <v>71</v>
      </c>
      <c r="B8" s="28">
        <f>B7/B5</f>
        <v>234</v>
      </c>
      <c r="C8" s="29"/>
      <c r="D8" s="35"/>
      <c r="E8" s="27"/>
      <c r="F8" s="30"/>
      <c r="G8" s="2"/>
      <c r="H8" s="2"/>
      <c r="I8" s="2"/>
      <c r="J8" s="2"/>
      <c r="K8" s="2"/>
      <c r="L8" s="2"/>
      <c r="M8" s="2"/>
      <c r="N8" s="2"/>
      <c r="O8" s="2"/>
      <c r="P8" s="2"/>
      <c r="Q8" s="2"/>
      <c r="R8" s="2"/>
      <c r="S8" s="2"/>
      <c r="T8" s="2"/>
      <c r="U8" s="2"/>
      <c r="V8" s="2"/>
      <c r="W8" s="2"/>
      <c r="X8" s="2"/>
      <c r="Y8" s="2"/>
      <c r="Z8" s="2"/>
      <c r="AA8" s="2"/>
      <c r="AB8" s="2"/>
      <c r="AC8" s="2"/>
      <c r="AD8" s="86"/>
      <c r="AE8" s="86"/>
    </row>
    <row r="9" spans="1:37" s="3" customFormat="1" ht="11.25" x14ac:dyDescent="0.2">
      <c r="A9" s="27" t="s">
        <v>72</v>
      </c>
      <c r="B9" s="31">
        <f>B4*C9</f>
        <v>13</v>
      </c>
      <c r="C9" s="29">
        <v>1</v>
      </c>
      <c r="D9" s="150" t="s">
        <v>73</v>
      </c>
      <c r="E9" s="27"/>
      <c r="F9" s="2"/>
      <c r="G9" s="56" t="s">
        <v>74</v>
      </c>
      <c r="H9" s="57">
        <v>0.4</v>
      </c>
      <c r="I9" s="2"/>
      <c r="J9" s="2"/>
      <c r="K9" s="2"/>
      <c r="L9" s="2"/>
      <c r="M9" s="2"/>
      <c r="N9" s="2"/>
      <c r="O9" s="2"/>
      <c r="P9" s="2"/>
      <c r="Q9" s="2"/>
      <c r="R9" s="2"/>
      <c r="S9" s="2"/>
      <c r="T9" s="2"/>
      <c r="U9" s="2"/>
      <c r="V9" s="2"/>
      <c r="W9" s="2"/>
      <c r="X9" s="2"/>
      <c r="Y9" s="2"/>
      <c r="Z9" s="2"/>
      <c r="AA9" s="2"/>
      <c r="AB9" s="2"/>
      <c r="AC9" s="2"/>
      <c r="AD9" s="86"/>
      <c r="AE9" s="86"/>
    </row>
    <row r="10" spans="1:37" s="3" customFormat="1" ht="11.25" x14ac:dyDescent="0.2">
      <c r="A10" s="27" t="s">
        <v>75</v>
      </c>
      <c r="B10" s="31">
        <f>B4*C10</f>
        <v>35.1</v>
      </c>
      <c r="C10" s="29">
        <v>2.7</v>
      </c>
      <c r="D10" s="150" t="s">
        <v>73</v>
      </c>
      <c r="E10" s="27"/>
      <c r="F10" s="2"/>
      <c r="G10" s="58" t="s">
        <v>76</v>
      </c>
      <c r="H10" s="57">
        <v>0.28599999999999998</v>
      </c>
      <c r="I10" s="2"/>
      <c r="J10" s="2"/>
      <c r="K10" s="2"/>
      <c r="L10" s="2"/>
      <c r="M10" s="2"/>
      <c r="N10" s="2"/>
      <c r="O10" s="2"/>
      <c r="P10" s="2"/>
      <c r="Q10" s="2"/>
      <c r="R10" s="2"/>
      <c r="S10" s="2"/>
      <c r="T10" s="2"/>
      <c r="U10" s="2"/>
      <c r="V10" s="2"/>
      <c r="W10" s="2"/>
      <c r="X10" s="2"/>
      <c r="Y10" s="2"/>
      <c r="Z10" s="2"/>
      <c r="AA10" s="2"/>
      <c r="AB10" s="2"/>
      <c r="AC10" s="2"/>
      <c r="AD10" s="86"/>
      <c r="AE10" s="86"/>
    </row>
    <row r="11" spans="1:37" s="3" customFormat="1" ht="11.25" x14ac:dyDescent="0.2">
      <c r="A11" s="149" t="s">
        <v>77</v>
      </c>
      <c r="B11" s="3">
        <f>C11*B4</f>
        <v>2.6</v>
      </c>
      <c r="C11" s="4">
        <v>0.2</v>
      </c>
      <c r="D11" s="150" t="s">
        <v>73</v>
      </c>
      <c r="E11" s="2"/>
      <c r="F11" s="2"/>
      <c r="G11" s="58"/>
      <c r="H11" s="57"/>
      <c r="I11" s="2"/>
      <c r="J11" s="2"/>
      <c r="K11" s="2"/>
      <c r="L11" s="2"/>
      <c r="M11" s="2"/>
      <c r="N11" s="2"/>
      <c r="O11" s="2"/>
      <c r="P11" s="2"/>
      <c r="Q11" s="2"/>
      <c r="R11" s="2"/>
      <c r="S11" s="2"/>
      <c r="T11" s="2"/>
      <c r="U11" s="2"/>
      <c r="V11" s="2"/>
      <c r="W11" s="2"/>
      <c r="X11" s="2"/>
      <c r="Y11" s="2"/>
      <c r="Z11" s="2"/>
      <c r="AA11" s="2"/>
      <c r="AB11" s="2"/>
      <c r="AC11" s="2"/>
      <c r="AD11" s="86"/>
      <c r="AE11" s="86"/>
    </row>
    <row r="12" spans="1:37" s="3" customFormat="1" ht="11.25" x14ac:dyDescent="0.2">
      <c r="A12" s="135" t="s">
        <v>78</v>
      </c>
      <c r="B12" s="31"/>
      <c r="C12" s="29"/>
      <c r="D12" s="35"/>
      <c r="E12" s="27"/>
      <c r="F12" s="30"/>
      <c r="G12" s="2"/>
      <c r="H12" s="2"/>
      <c r="I12" s="2"/>
      <c r="J12" s="2"/>
      <c r="K12" s="2"/>
      <c r="L12" s="2"/>
      <c r="M12" s="2"/>
      <c r="N12" s="2"/>
      <c r="O12" s="2"/>
      <c r="P12" s="2"/>
      <c r="Q12" s="2"/>
      <c r="R12" s="2"/>
      <c r="S12" s="2"/>
      <c r="T12" s="2"/>
      <c r="U12" s="2"/>
      <c r="V12" s="2"/>
      <c r="W12" s="2"/>
      <c r="X12" s="2"/>
      <c r="Y12" s="2"/>
      <c r="Z12" s="2"/>
      <c r="AA12" s="2"/>
      <c r="AB12" s="2"/>
      <c r="AC12" s="2"/>
      <c r="AD12" s="86"/>
      <c r="AE12" s="86"/>
    </row>
    <row r="13" spans="1:37" s="5" customFormat="1" ht="59.25" x14ac:dyDescent="0.4">
      <c r="A13" s="412" t="s">
        <v>79</v>
      </c>
      <c r="B13" s="413" t="s">
        <v>80</v>
      </c>
      <c r="C13" s="413" t="s">
        <v>80</v>
      </c>
      <c r="D13" s="413" t="s">
        <v>80</v>
      </c>
      <c r="E13" s="413" t="s">
        <v>80</v>
      </c>
      <c r="F13" s="413" t="s">
        <v>80</v>
      </c>
      <c r="G13" s="413" t="s">
        <v>80</v>
      </c>
      <c r="H13" s="413" t="s">
        <v>81</v>
      </c>
      <c r="I13" s="413" t="s">
        <v>81</v>
      </c>
      <c r="J13" s="413" t="s">
        <v>81</v>
      </c>
      <c r="K13" s="414" t="s">
        <v>82</v>
      </c>
      <c r="L13" s="414" t="s">
        <v>83</v>
      </c>
      <c r="M13" s="414" t="s">
        <v>83</v>
      </c>
      <c r="N13" s="413" t="s">
        <v>84</v>
      </c>
      <c r="O13" s="413" t="s">
        <v>84</v>
      </c>
      <c r="P13" s="413" t="s">
        <v>84</v>
      </c>
      <c r="Q13" s="413" t="s">
        <v>84</v>
      </c>
      <c r="R13" s="413" t="s">
        <v>85</v>
      </c>
      <c r="S13" s="413" t="s">
        <v>85</v>
      </c>
      <c r="T13" s="413" t="s">
        <v>85</v>
      </c>
      <c r="U13" s="413" t="s">
        <v>85</v>
      </c>
      <c r="V13" s="413" t="s">
        <v>85</v>
      </c>
      <c r="W13" s="413" t="s">
        <v>85</v>
      </c>
      <c r="X13" s="413" t="s">
        <v>84</v>
      </c>
      <c r="Y13" s="413" t="s">
        <v>84</v>
      </c>
      <c r="Z13" s="413" t="s">
        <v>84</v>
      </c>
      <c r="AA13" s="413" t="s">
        <v>84</v>
      </c>
      <c r="AB13" s="415" t="s">
        <v>84</v>
      </c>
      <c r="AC13" s="416" t="s">
        <v>86</v>
      </c>
      <c r="AD13" s="85"/>
      <c r="AE13" s="85"/>
      <c r="AF13" s="87"/>
      <c r="AG13" s="88" t="s">
        <v>87</v>
      </c>
      <c r="AH13" s="89"/>
      <c r="AI13" s="89"/>
      <c r="AJ13" s="89"/>
      <c r="AK13" s="89"/>
    </row>
    <row r="14" spans="1:37" s="6" customFormat="1" ht="12" x14ac:dyDescent="0.2">
      <c r="A14" s="412" t="s">
        <v>88</v>
      </c>
      <c r="B14" s="417" t="s">
        <v>89</v>
      </c>
      <c r="C14" s="417" t="s">
        <v>90</v>
      </c>
      <c r="D14" s="417" t="s">
        <v>91</v>
      </c>
      <c r="E14" s="417" t="s">
        <v>92</v>
      </c>
      <c r="F14" s="417" t="s">
        <v>93</v>
      </c>
      <c r="G14" s="417" t="s">
        <v>94</v>
      </c>
      <c r="H14" s="417" t="s">
        <v>95</v>
      </c>
      <c r="I14" s="417" t="s">
        <v>96</v>
      </c>
      <c r="J14" s="417" t="s">
        <v>97</v>
      </c>
      <c r="K14" s="417" t="s">
        <v>98</v>
      </c>
      <c r="L14" s="417" t="s">
        <v>99</v>
      </c>
      <c r="M14" s="417" t="s">
        <v>100</v>
      </c>
      <c r="N14" s="417" t="s">
        <v>101</v>
      </c>
      <c r="O14" s="417" t="s">
        <v>102</v>
      </c>
      <c r="P14" s="417" t="s">
        <v>103</v>
      </c>
      <c r="Q14" s="417" t="s">
        <v>104</v>
      </c>
      <c r="R14" s="417" t="s">
        <v>105</v>
      </c>
      <c r="S14" s="417" t="s">
        <v>106</v>
      </c>
      <c r="T14" s="417" t="s">
        <v>107</v>
      </c>
      <c r="U14" s="417" t="s">
        <v>108</v>
      </c>
      <c r="V14" s="417" t="s">
        <v>109</v>
      </c>
      <c r="W14" s="417" t="s">
        <v>110</v>
      </c>
      <c r="X14" s="417" t="s">
        <v>111</v>
      </c>
      <c r="Y14" s="417" t="s">
        <v>112</v>
      </c>
      <c r="Z14" s="417" t="s">
        <v>113</v>
      </c>
      <c r="AA14" s="417" t="s">
        <v>114</v>
      </c>
      <c r="AB14" s="389" t="s">
        <v>115</v>
      </c>
      <c r="AC14" s="417" t="s">
        <v>116</v>
      </c>
      <c r="AD14" s="90">
        <v>1</v>
      </c>
      <c r="AE14" s="90"/>
      <c r="AF14" s="87"/>
      <c r="AG14" s="91"/>
      <c r="AH14" s="91"/>
      <c r="AI14" s="91"/>
      <c r="AJ14" s="91"/>
      <c r="AK14" s="91"/>
    </row>
    <row r="15" spans="1:37" s="6" customFormat="1" ht="12" x14ac:dyDescent="0.2">
      <c r="A15" s="412" t="s">
        <v>117</v>
      </c>
      <c r="B15" s="417">
        <v>1</v>
      </c>
      <c r="C15" s="417">
        <v>2</v>
      </c>
      <c r="D15" s="417">
        <v>3</v>
      </c>
      <c r="E15" s="417">
        <v>4</v>
      </c>
      <c r="F15" s="417">
        <v>5</v>
      </c>
      <c r="G15" s="417">
        <v>6</v>
      </c>
      <c r="H15" s="417">
        <v>7</v>
      </c>
      <c r="I15" s="417">
        <v>8</v>
      </c>
      <c r="J15" s="417">
        <v>9</v>
      </c>
      <c r="K15" s="417">
        <v>10</v>
      </c>
      <c r="L15" s="417">
        <v>11</v>
      </c>
      <c r="M15" s="417">
        <v>12</v>
      </c>
      <c r="N15" s="417">
        <v>13</v>
      </c>
      <c r="O15" s="417">
        <v>14</v>
      </c>
      <c r="P15" s="417">
        <v>15</v>
      </c>
      <c r="Q15" s="417">
        <v>16</v>
      </c>
      <c r="R15" s="417">
        <v>17</v>
      </c>
      <c r="S15" s="417">
        <v>18</v>
      </c>
      <c r="T15" s="417">
        <v>19</v>
      </c>
      <c r="U15" s="417">
        <v>20</v>
      </c>
      <c r="V15" s="417">
        <v>21</v>
      </c>
      <c r="W15" s="417">
        <v>22</v>
      </c>
      <c r="X15" s="417">
        <v>23</v>
      </c>
      <c r="Y15" s="417">
        <v>24</v>
      </c>
      <c r="Z15" s="417">
        <v>25</v>
      </c>
      <c r="AA15" s="417">
        <v>26</v>
      </c>
      <c r="AB15" s="389">
        <v>27</v>
      </c>
      <c r="AC15" s="417">
        <v>28</v>
      </c>
      <c r="AD15" s="92">
        <v>2</v>
      </c>
      <c r="AE15" s="92"/>
      <c r="AF15" s="87"/>
      <c r="AG15" s="91"/>
      <c r="AH15" s="91"/>
      <c r="AI15" s="91"/>
      <c r="AJ15" s="91"/>
      <c r="AK15" s="91"/>
    </row>
    <row r="16" spans="1:37" ht="12" x14ac:dyDescent="0.2">
      <c r="A16" s="412" t="s">
        <v>118</v>
      </c>
      <c r="B16" s="651" t="s">
        <v>119</v>
      </c>
      <c r="C16" s="652"/>
      <c r="D16" s="652"/>
      <c r="E16" s="652"/>
      <c r="F16" s="652"/>
      <c r="G16" s="653"/>
      <c r="H16" s="651" t="s">
        <v>120</v>
      </c>
      <c r="I16" s="652"/>
      <c r="J16" s="653"/>
      <c r="K16" s="644" t="s">
        <v>121</v>
      </c>
      <c r="L16" s="645"/>
      <c r="M16" s="646"/>
      <c r="N16" s="644" t="s">
        <v>122</v>
      </c>
      <c r="O16" s="645"/>
      <c r="P16" s="645"/>
      <c r="Q16" s="646"/>
      <c r="R16" s="644" t="s">
        <v>123</v>
      </c>
      <c r="S16" s="645"/>
      <c r="T16" s="645"/>
      <c r="U16" s="645"/>
      <c r="V16" s="645"/>
      <c r="W16" s="646"/>
      <c r="X16" s="644" t="s">
        <v>84</v>
      </c>
      <c r="Y16" s="645"/>
      <c r="Z16" s="645"/>
      <c r="AA16" s="645"/>
      <c r="AB16" s="645"/>
      <c r="AC16" s="417" t="s">
        <v>124</v>
      </c>
      <c r="AD16" s="90">
        <v>3</v>
      </c>
      <c r="AE16" s="90"/>
      <c r="AF16" s="93"/>
      <c r="AG16" s="94"/>
      <c r="AH16" s="95"/>
      <c r="AI16" s="87"/>
      <c r="AJ16" s="87"/>
      <c r="AK16" s="96"/>
    </row>
    <row r="17" spans="1:37" x14ac:dyDescent="0.2">
      <c r="A17" s="97" t="s">
        <v>125</v>
      </c>
      <c r="B17" s="365"/>
      <c r="C17" s="8"/>
      <c r="D17" s="8"/>
      <c r="E17" s="8"/>
      <c r="F17" s="8"/>
      <c r="G17" s="8"/>
      <c r="H17" s="8"/>
      <c r="I17" s="8"/>
      <c r="J17" s="8"/>
      <c r="K17" s="8"/>
      <c r="L17" s="8"/>
      <c r="M17" s="8"/>
      <c r="N17" s="8"/>
      <c r="O17" s="8"/>
      <c r="P17" s="8"/>
      <c r="Q17" s="8"/>
      <c r="R17" s="8"/>
      <c r="S17" s="8"/>
      <c r="T17" s="9"/>
      <c r="U17" s="8"/>
      <c r="V17" s="8"/>
      <c r="W17" s="8"/>
      <c r="X17" s="8"/>
      <c r="Y17" s="8"/>
      <c r="Z17" s="8"/>
      <c r="AA17" s="8"/>
      <c r="AB17" s="8"/>
      <c r="AC17" s="19"/>
      <c r="AD17" s="92">
        <v>4</v>
      </c>
      <c r="AE17" s="92"/>
      <c r="AF17" s="93"/>
      <c r="AG17" s="629" t="s">
        <v>126</v>
      </c>
      <c r="AH17" s="629"/>
      <c r="AI17" s="629"/>
      <c r="AJ17" s="629"/>
      <c r="AK17" s="98"/>
    </row>
    <row r="18" spans="1:37" s="99" customFormat="1" ht="12" x14ac:dyDescent="0.2">
      <c r="A18" s="418" t="s">
        <v>127</v>
      </c>
      <c r="B18" s="419">
        <f t="shared" ref="B18:AB18" si="0">IF(B96&lt;80,B97,MIN(B96,80))</f>
        <v>0</v>
      </c>
      <c r="C18" s="419">
        <f t="shared" si="0"/>
        <v>0</v>
      </c>
      <c r="D18" s="419">
        <f t="shared" si="0"/>
        <v>0</v>
      </c>
      <c r="E18" s="419">
        <f t="shared" si="0"/>
        <v>0</v>
      </c>
      <c r="F18" s="419">
        <f t="shared" si="0"/>
        <v>0</v>
      </c>
      <c r="G18" s="419">
        <f t="shared" si="0"/>
        <v>4.9431538436497391E-2</v>
      </c>
      <c r="H18" s="419">
        <f t="shared" si="0"/>
        <v>2.0494315384364974</v>
      </c>
      <c r="I18" s="419">
        <f t="shared" si="0"/>
        <v>2.0494315384364974</v>
      </c>
      <c r="J18" s="419">
        <f t="shared" si="0"/>
        <v>12.049431538436497</v>
      </c>
      <c r="K18" s="419">
        <f t="shared" si="0"/>
        <v>37.049431538436494</v>
      </c>
      <c r="L18" s="419">
        <f t="shared" si="0"/>
        <v>80</v>
      </c>
      <c r="M18" s="419">
        <f t="shared" si="0"/>
        <v>80</v>
      </c>
      <c r="N18" s="419">
        <f t="shared" si="0"/>
        <v>80</v>
      </c>
      <c r="O18" s="419">
        <f t="shared" si="0"/>
        <v>80</v>
      </c>
      <c r="P18" s="419">
        <f t="shared" si="0"/>
        <v>80</v>
      </c>
      <c r="Q18" s="419">
        <f t="shared" si="0"/>
        <v>80</v>
      </c>
      <c r="R18" s="419">
        <f t="shared" si="0"/>
        <v>80</v>
      </c>
      <c r="S18" s="419">
        <f t="shared" si="0"/>
        <v>80</v>
      </c>
      <c r="T18" s="419">
        <f t="shared" si="0"/>
        <v>80</v>
      </c>
      <c r="U18" s="419">
        <f t="shared" si="0"/>
        <v>80</v>
      </c>
      <c r="V18" s="419">
        <f t="shared" si="0"/>
        <v>80</v>
      </c>
      <c r="W18" s="419">
        <f t="shared" si="0"/>
        <v>80</v>
      </c>
      <c r="X18" s="419">
        <f t="shared" si="0"/>
        <v>80</v>
      </c>
      <c r="Y18" s="419">
        <f t="shared" si="0"/>
        <v>80</v>
      </c>
      <c r="Z18" s="419">
        <f t="shared" si="0"/>
        <v>80</v>
      </c>
      <c r="AA18" s="419">
        <f t="shared" si="0"/>
        <v>80</v>
      </c>
      <c r="AB18" s="420">
        <f t="shared" si="0"/>
        <v>80</v>
      </c>
      <c r="AC18" s="419">
        <f>IF(AC96&lt;80,AC97,MIN(AC96,80))</f>
        <v>0</v>
      </c>
      <c r="AD18" s="90">
        <v>5</v>
      </c>
      <c r="AE18" s="90"/>
      <c r="AF18" s="93"/>
      <c r="AG18" s="102"/>
      <c r="AH18" s="102"/>
      <c r="AI18" s="101"/>
      <c r="AJ18" s="101"/>
      <c r="AK18" s="103"/>
    </row>
    <row r="19" spans="1:37" ht="12" x14ac:dyDescent="0.2">
      <c r="A19" s="421" t="s">
        <v>128</v>
      </c>
      <c r="B19" s="422">
        <v>0.5</v>
      </c>
      <c r="C19" s="422">
        <v>0.5</v>
      </c>
      <c r="D19" s="422">
        <v>0.5</v>
      </c>
      <c r="E19" s="422">
        <v>0.5</v>
      </c>
      <c r="F19" s="422">
        <v>0.5</v>
      </c>
      <c r="G19" s="422">
        <v>0.5</v>
      </c>
      <c r="H19" s="422">
        <v>0.55000000000000004</v>
      </c>
      <c r="I19" s="422">
        <v>0.6</v>
      </c>
      <c r="J19" s="422">
        <v>0.65</v>
      </c>
      <c r="K19" s="422">
        <v>0.7</v>
      </c>
      <c r="L19" s="422">
        <v>0.7</v>
      </c>
      <c r="M19" s="422">
        <v>0.7</v>
      </c>
      <c r="N19" s="422">
        <v>0.7</v>
      </c>
      <c r="O19" s="422">
        <v>0.7</v>
      </c>
      <c r="P19" s="422">
        <v>0.7</v>
      </c>
      <c r="Q19" s="422">
        <v>0.4</v>
      </c>
      <c r="R19" s="422">
        <v>0.8</v>
      </c>
      <c r="S19" s="422">
        <v>0.8</v>
      </c>
      <c r="T19" s="422">
        <v>0.8</v>
      </c>
      <c r="U19" s="422">
        <v>0.8</v>
      </c>
      <c r="V19" s="422">
        <v>0.8</v>
      </c>
      <c r="W19" s="422">
        <v>0.7</v>
      </c>
      <c r="X19" s="422">
        <v>0.4</v>
      </c>
      <c r="Y19" s="422">
        <v>0.6</v>
      </c>
      <c r="Z19" s="422">
        <v>0.6</v>
      </c>
      <c r="AA19" s="422">
        <v>0.6</v>
      </c>
      <c r="AB19" s="332">
        <v>0.6</v>
      </c>
      <c r="AC19" s="50">
        <f>H9</f>
        <v>0.4</v>
      </c>
      <c r="AD19" s="92">
        <v>6</v>
      </c>
      <c r="AE19" s="92"/>
      <c r="AF19" s="93"/>
      <c r="AG19" s="96" t="s">
        <v>129</v>
      </c>
      <c r="AH19" s="96"/>
      <c r="AI19" s="103"/>
      <c r="AJ19" s="103"/>
      <c r="AK19" s="87"/>
    </row>
    <row r="20" spans="1:37" ht="12" x14ac:dyDescent="0.2">
      <c r="A20" s="423" t="s">
        <v>130</v>
      </c>
      <c r="B20" s="424"/>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425"/>
      <c r="AD20" s="90">
        <v>7</v>
      </c>
      <c r="AE20" s="90"/>
      <c r="AF20" s="93"/>
      <c r="AG20" s="87"/>
      <c r="AH20" s="426" t="s">
        <v>89</v>
      </c>
      <c r="AI20" s="104" t="s">
        <v>131</v>
      </c>
      <c r="AJ20" s="87"/>
      <c r="AK20" s="87"/>
    </row>
    <row r="21" spans="1:37" s="10" customFormat="1" ht="12" x14ac:dyDescent="0.2">
      <c r="A21" s="427" t="s">
        <v>132</v>
      </c>
      <c r="B21" s="152">
        <f t="shared" ref="B21:AC21" si="1">B19*$B$8</f>
        <v>117</v>
      </c>
      <c r="C21" s="152">
        <f t="shared" si="1"/>
        <v>117</v>
      </c>
      <c r="D21" s="152">
        <f t="shared" si="1"/>
        <v>117</v>
      </c>
      <c r="E21" s="152">
        <f t="shared" si="1"/>
        <v>117</v>
      </c>
      <c r="F21" s="152">
        <f t="shared" si="1"/>
        <v>117</v>
      </c>
      <c r="G21" s="152">
        <f t="shared" si="1"/>
        <v>117</v>
      </c>
      <c r="H21" s="152">
        <f t="shared" si="1"/>
        <v>128.70000000000002</v>
      </c>
      <c r="I21" s="152">
        <f t="shared" si="1"/>
        <v>140.4</v>
      </c>
      <c r="J21" s="152">
        <f t="shared" si="1"/>
        <v>152.1</v>
      </c>
      <c r="K21" s="152">
        <f t="shared" si="1"/>
        <v>163.79999999999998</v>
      </c>
      <c r="L21" s="152">
        <f t="shared" si="1"/>
        <v>163.79999999999998</v>
      </c>
      <c r="M21" s="152">
        <f t="shared" si="1"/>
        <v>163.79999999999998</v>
      </c>
      <c r="N21" s="152">
        <f t="shared" si="1"/>
        <v>163.79999999999998</v>
      </c>
      <c r="O21" s="152">
        <f t="shared" si="1"/>
        <v>163.79999999999998</v>
      </c>
      <c r="P21" s="152">
        <f t="shared" si="1"/>
        <v>163.79999999999998</v>
      </c>
      <c r="Q21" s="152">
        <f t="shared" si="1"/>
        <v>93.600000000000009</v>
      </c>
      <c r="R21" s="152">
        <f t="shared" si="1"/>
        <v>187.20000000000002</v>
      </c>
      <c r="S21" s="152">
        <f t="shared" si="1"/>
        <v>187.20000000000002</v>
      </c>
      <c r="T21" s="152">
        <f t="shared" si="1"/>
        <v>187.20000000000002</v>
      </c>
      <c r="U21" s="152">
        <f t="shared" si="1"/>
        <v>187.20000000000002</v>
      </c>
      <c r="V21" s="152">
        <f t="shared" si="1"/>
        <v>187.20000000000002</v>
      </c>
      <c r="W21" s="152">
        <f t="shared" si="1"/>
        <v>163.79999999999998</v>
      </c>
      <c r="X21" s="152">
        <f t="shared" si="1"/>
        <v>93.600000000000009</v>
      </c>
      <c r="Y21" s="152">
        <f t="shared" si="1"/>
        <v>140.4</v>
      </c>
      <c r="Z21" s="152">
        <f t="shared" si="1"/>
        <v>140.4</v>
      </c>
      <c r="AA21" s="152">
        <f t="shared" si="1"/>
        <v>140.4</v>
      </c>
      <c r="AB21" s="323">
        <f t="shared" si="1"/>
        <v>140.4</v>
      </c>
      <c r="AC21" s="428">
        <f t="shared" si="1"/>
        <v>93.600000000000009</v>
      </c>
      <c r="AD21" s="92">
        <v>8</v>
      </c>
      <c r="AE21" s="92"/>
      <c r="AF21" s="93"/>
      <c r="AG21" s="87"/>
      <c r="AH21" s="87"/>
      <c r="AI21" s="87"/>
      <c r="AJ21" s="87"/>
      <c r="AK21" s="87"/>
    </row>
    <row r="22" spans="1:37" s="11" customFormat="1" ht="12" x14ac:dyDescent="0.2">
      <c r="A22" s="427" t="s">
        <v>133</v>
      </c>
      <c r="B22" s="429">
        <f t="shared" ref="B22:AC22" si="2">B21*$B$5</f>
        <v>175.5</v>
      </c>
      <c r="C22" s="429">
        <f t="shared" si="2"/>
        <v>175.5</v>
      </c>
      <c r="D22" s="429">
        <f t="shared" si="2"/>
        <v>175.5</v>
      </c>
      <c r="E22" s="429">
        <f t="shared" si="2"/>
        <v>175.5</v>
      </c>
      <c r="F22" s="429">
        <f t="shared" si="2"/>
        <v>175.5</v>
      </c>
      <c r="G22" s="429">
        <f t="shared" si="2"/>
        <v>175.5</v>
      </c>
      <c r="H22" s="429">
        <f t="shared" si="2"/>
        <v>193.05</v>
      </c>
      <c r="I22" s="429">
        <f t="shared" si="2"/>
        <v>210.60000000000002</v>
      </c>
      <c r="J22" s="429">
        <f t="shared" si="2"/>
        <v>228.14999999999998</v>
      </c>
      <c r="K22" s="429">
        <f t="shared" si="2"/>
        <v>245.7</v>
      </c>
      <c r="L22" s="429">
        <f t="shared" si="2"/>
        <v>245.7</v>
      </c>
      <c r="M22" s="429">
        <f t="shared" si="2"/>
        <v>245.7</v>
      </c>
      <c r="N22" s="429">
        <f t="shared" si="2"/>
        <v>245.7</v>
      </c>
      <c r="O22" s="429">
        <f t="shared" si="2"/>
        <v>245.7</v>
      </c>
      <c r="P22" s="429">
        <f t="shared" si="2"/>
        <v>245.7</v>
      </c>
      <c r="Q22" s="429">
        <f t="shared" si="2"/>
        <v>140.4</v>
      </c>
      <c r="R22" s="429">
        <f t="shared" si="2"/>
        <v>280.8</v>
      </c>
      <c r="S22" s="429">
        <f t="shared" si="2"/>
        <v>280.8</v>
      </c>
      <c r="T22" s="429">
        <f t="shared" si="2"/>
        <v>280.8</v>
      </c>
      <c r="U22" s="429">
        <f t="shared" si="2"/>
        <v>280.8</v>
      </c>
      <c r="V22" s="429">
        <f t="shared" si="2"/>
        <v>280.8</v>
      </c>
      <c r="W22" s="429">
        <f t="shared" si="2"/>
        <v>245.7</v>
      </c>
      <c r="X22" s="429">
        <f t="shared" si="2"/>
        <v>140.4</v>
      </c>
      <c r="Y22" s="429">
        <f t="shared" si="2"/>
        <v>210.60000000000002</v>
      </c>
      <c r="Z22" s="429">
        <f t="shared" si="2"/>
        <v>210.60000000000002</v>
      </c>
      <c r="AA22" s="429">
        <f t="shared" si="2"/>
        <v>210.60000000000002</v>
      </c>
      <c r="AB22" s="430">
        <f t="shared" si="2"/>
        <v>210.60000000000002</v>
      </c>
      <c r="AC22" s="429">
        <f t="shared" si="2"/>
        <v>140.4</v>
      </c>
      <c r="AD22" s="90">
        <v>9</v>
      </c>
      <c r="AE22" s="90"/>
      <c r="AF22" s="93"/>
      <c r="AG22" s="431" t="s">
        <v>134</v>
      </c>
      <c r="AH22" s="432">
        <f>HLOOKUP($AH$20,$B$14:$AB$67,AD36,FALSE)</f>
        <v>4.9000000000000004</v>
      </c>
      <c r="AI22" s="105"/>
      <c r="AJ22" s="87"/>
      <c r="AK22" s="87"/>
    </row>
    <row r="23" spans="1:37" s="11" customFormat="1" ht="12" x14ac:dyDescent="0.2">
      <c r="A23" s="427" t="s">
        <v>135</v>
      </c>
      <c r="B23" s="433">
        <f>$B$9</f>
        <v>13</v>
      </c>
      <c r="C23" s="433">
        <f t="shared" ref="C23:AC23" si="3">$B$9</f>
        <v>13</v>
      </c>
      <c r="D23" s="433">
        <f t="shared" si="3"/>
        <v>13</v>
      </c>
      <c r="E23" s="433">
        <f t="shared" si="3"/>
        <v>13</v>
      </c>
      <c r="F23" s="433">
        <f t="shared" si="3"/>
        <v>13</v>
      </c>
      <c r="G23" s="433">
        <f t="shared" si="3"/>
        <v>13</v>
      </c>
      <c r="H23" s="433">
        <f t="shared" si="3"/>
        <v>13</v>
      </c>
      <c r="I23" s="433">
        <f t="shared" si="3"/>
        <v>13</v>
      </c>
      <c r="J23" s="433">
        <f t="shared" si="3"/>
        <v>13</v>
      </c>
      <c r="K23" s="433">
        <f t="shared" si="3"/>
        <v>13</v>
      </c>
      <c r="L23" s="433">
        <f t="shared" si="3"/>
        <v>13</v>
      </c>
      <c r="M23" s="433">
        <f t="shared" si="3"/>
        <v>13</v>
      </c>
      <c r="N23" s="433">
        <f t="shared" si="3"/>
        <v>13</v>
      </c>
      <c r="O23" s="433">
        <f t="shared" si="3"/>
        <v>13</v>
      </c>
      <c r="P23" s="433">
        <f t="shared" si="3"/>
        <v>13</v>
      </c>
      <c r="Q23" s="433">
        <f t="shared" si="3"/>
        <v>13</v>
      </c>
      <c r="R23" s="433">
        <f t="shared" si="3"/>
        <v>13</v>
      </c>
      <c r="S23" s="433">
        <f t="shared" si="3"/>
        <v>13</v>
      </c>
      <c r="T23" s="433">
        <f t="shared" si="3"/>
        <v>13</v>
      </c>
      <c r="U23" s="433">
        <f t="shared" si="3"/>
        <v>13</v>
      </c>
      <c r="V23" s="433">
        <f t="shared" si="3"/>
        <v>13</v>
      </c>
      <c r="W23" s="433">
        <f t="shared" si="3"/>
        <v>13</v>
      </c>
      <c r="X23" s="433">
        <f t="shared" si="3"/>
        <v>13</v>
      </c>
      <c r="Y23" s="433">
        <f t="shared" si="3"/>
        <v>13</v>
      </c>
      <c r="Z23" s="433">
        <f t="shared" si="3"/>
        <v>13</v>
      </c>
      <c r="AA23" s="433">
        <f t="shared" si="3"/>
        <v>13</v>
      </c>
      <c r="AB23" s="434">
        <f t="shared" si="3"/>
        <v>13</v>
      </c>
      <c r="AC23" s="433">
        <f t="shared" si="3"/>
        <v>13</v>
      </c>
      <c r="AD23" s="92">
        <v>10</v>
      </c>
      <c r="AE23" s="92"/>
      <c r="AF23" s="93"/>
      <c r="AG23" s="431" t="s">
        <v>136</v>
      </c>
      <c r="AH23" s="432">
        <f>IF(HLOOKUP($AH$20,$B$14:$AB$67,AD50,FALSE)/HLOOKUP($AH$20,$B$14:$AB$67,AD35,FALSE)&lt;3,ROUND(HLOOKUP($AH$20,$B$14:$AB$67,AD50,FALSE)/HLOOKUP($AH$20,$B$14:$AB$67,AD35,FALSE),0),3)</f>
        <v>0</v>
      </c>
      <c r="AI23" s="96"/>
      <c r="AJ23" s="87"/>
      <c r="AK23" s="87"/>
    </row>
    <row r="24" spans="1:37" s="11" customFormat="1" ht="12" x14ac:dyDescent="0.2">
      <c r="A24" s="427" t="s">
        <v>137</v>
      </c>
      <c r="B24" s="433">
        <f t="shared" ref="B24:AC24" si="4">IF(ISBLANK(B120),0,$B$10)</f>
        <v>0</v>
      </c>
      <c r="C24" s="433">
        <f t="shared" si="4"/>
        <v>0</v>
      </c>
      <c r="D24" s="433">
        <f t="shared" si="4"/>
        <v>0</v>
      </c>
      <c r="E24" s="433">
        <f t="shared" si="4"/>
        <v>0</v>
      </c>
      <c r="F24" s="433">
        <f t="shared" si="4"/>
        <v>0</v>
      </c>
      <c r="G24" s="433">
        <f t="shared" si="4"/>
        <v>0</v>
      </c>
      <c r="H24" s="433">
        <f t="shared" si="4"/>
        <v>0</v>
      </c>
      <c r="I24" s="433">
        <f t="shared" si="4"/>
        <v>0</v>
      </c>
      <c r="J24" s="433">
        <f t="shared" si="4"/>
        <v>35.1</v>
      </c>
      <c r="K24" s="433">
        <f t="shared" si="4"/>
        <v>0</v>
      </c>
      <c r="L24" s="433">
        <f t="shared" si="4"/>
        <v>35.1</v>
      </c>
      <c r="M24" s="433">
        <f t="shared" si="4"/>
        <v>35.1</v>
      </c>
      <c r="N24" s="433">
        <f t="shared" si="4"/>
        <v>0</v>
      </c>
      <c r="O24" s="433">
        <f t="shared" si="4"/>
        <v>0</v>
      </c>
      <c r="P24" s="433">
        <f t="shared" si="4"/>
        <v>35.1</v>
      </c>
      <c r="Q24" s="433">
        <f t="shared" si="4"/>
        <v>0</v>
      </c>
      <c r="R24" s="433">
        <f t="shared" si="4"/>
        <v>35.1</v>
      </c>
      <c r="S24" s="433">
        <f t="shared" si="4"/>
        <v>35.1</v>
      </c>
      <c r="T24" s="433">
        <f t="shared" si="4"/>
        <v>35.1</v>
      </c>
      <c r="U24" s="433">
        <f t="shared" si="4"/>
        <v>35.1</v>
      </c>
      <c r="V24" s="433">
        <f t="shared" si="4"/>
        <v>35.1</v>
      </c>
      <c r="W24" s="433">
        <f t="shared" si="4"/>
        <v>35.1</v>
      </c>
      <c r="X24" s="433">
        <f t="shared" si="4"/>
        <v>0</v>
      </c>
      <c r="Y24" s="433">
        <f t="shared" si="4"/>
        <v>0</v>
      </c>
      <c r="Z24" s="433">
        <f t="shared" si="4"/>
        <v>0</v>
      </c>
      <c r="AA24" s="433">
        <f t="shared" si="4"/>
        <v>0</v>
      </c>
      <c r="AB24" s="434">
        <f t="shared" si="4"/>
        <v>0</v>
      </c>
      <c r="AC24" s="433">
        <f t="shared" si="4"/>
        <v>0</v>
      </c>
      <c r="AD24" s="90">
        <v>11</v>
      </c>
      <c r="AE24" s="90"/>
      <c r="AF24" s="93"/>
      <c r="AG24" s="99" t="s">
        <v>138</v>
      </c>
      <c r="AI24" s="34"/>
      <c r="AJ24" s="87"/>
      <c r="AK24" s="87"/>
    </row>
    <row r="25" spans="1:37" s="11" customFormat="1" ht="12" x14ac:dyDescent="0.2">
      <c r="A25" s="427" t="s">
        <v>139</v>
      </c>
      <c r="B25" s="429">
        <f>B21*$B$5+SUM(B23:B24)</f>
        <v>188.5</v>
      </c>
      <c r="C25" s="429">
        <f t="shared" ref="C25:AB25" si="5">C21*$B$5+SUM(C23:C24)</f>
        <v>188.5</v>
      </c>
      <c r="D25" s="429">
        <f t="shared" si="5"/>
        <v>188.5</v>
      </c>
      <c r="E25" s="429">
        <f t="shared" si="5"/>
        <v>188.5</v>
      </c>
      <c r="F25" s="429">
        <f t="shared" si="5"/>
        <v>188.5</v>
      </c>
      <c r="G25" s="429">
        <f t="shared" si="5"/>
        <v>188.5</v>
      </c>
      <c r="H25" s="429">
        <f t="shared" si="5"/>
        <v>206.05</v>
      </c>
      <c r="I25" s="429">
        <f t="shared" si="5"/>
        <v>223.60000000000002</v>
      </c>
      <c r="J25" s="429">
        <f t="shared" si="5"/>
        <v>276.25</v>
      </c>
      <c r="K25" s="429">
        <f t="shared" si="5"/>
        <v>258.7</v>
      </c>
      <c r="L25" s="429">
        <f t="shared" si="5"/>
        <v>293.8</v>
      </c>
      <c r="M25" s="429">
        <f t="shared" si="5"/>
        <v>293.8</v>
      </c>
      <c r="N25" s="429">
        <f t="shared" si="5"/>
        <v>258.7</v>
      </c>
      <c r="O25" s="429">
        <f t="shared" si="5"/>
        <v>258.7</v>
      </c>
      <c r="P25" s="429">
        <f t="shared" si="5"/>
        <v>293.8</v>
      </c>
      <c r="Q25" s="429">
        <f t="shared" si="5"/>
        <v>153.4</v>
      </c>
      <c r="R25" s="429">
        <f t="shared" si="5"/>
        <v>328.90000000000003</v>
      </c>
      <c r="S25" s="429">
        <f t="shared" si="5"/>
        <v>328.90000000000003</v>
      </c>
      <c r="T25" s="429">
        <f t="shared" si="5"/>
        <v>328.90000000000003</v>
      </c>
      <c r="U25" s="429">
        <f t="shared" si="5"/>
        <v>328.90000000000003</v>
      </c>
      <c r="V25" s="429">
        <f t="shared" si="5"/>
        <v>328.90000000000003</v>
      </c>
      <c r="W25" s="429">
        <f t="shared" si="5"/>
        <v>293.8</v>
      </c>
      <c r="X25" s="429">
        <f t="shared" si="5"/>
        <v>153.4</v>
      </c>
      <c r="Y25" s="429">
        <f t="shared" si="5"/>
        <v>223.60000000000002</v>
      </c>
      <c r="Z25" s="429">
        <f t="shared" si="5"/>
        <v>223.60000000000002</v>
      </c>
      <c r="AA25" s="429">
        <f t="shared" si="5"/>
        <v>223.60000000000002</v>
      </c>
      <c r="AB25" s="430">
        <f t="shared" si="5"/>
        <v>223.60000000000002</v>
      </c>
      <c r="AC25" s="429">
        <f t="shared" ref="AC25" si="6">AC21*$B$5+SUM(AC23:AC24)</f>
        <v>153.4</v>
      </c>
      <c r="AD25" s="92">
        <v>12</v>
      </c>
      <c r="AE25" s="92"/>
      <c r="AF25" s="93"/>
      <c r="AG25" s="87" t="s">
        <v>140</v>
      </c>
      <c r="AH25" s="106"/>
      <c r="AI25" s="34"/>
      <c r="AJ25" s="87"/>
      <c r="AK25" s="87"/>
    </row>
    <row r="26" spans="1:37" s="11" customFormat="1" ht="12" x14ac:dyDescent="0.2">
      <c r="A26" s="12" t="s">
        <v>141</v>
      </c>
      <c r="B26" s="13">
        <f t="shared" ref="B26:AB26" si="7">-IF(ISBLANK(B119),0,MIN(B$22*$H$10,B$22-$B$7*$H$9))</f>
        <v>-35.099999999999994</v>
      </c>
      <c r="C26" s="13">
        <f t="shared" si="7"/>
        <v>-35.099999999999994</v>
      </c>
      <c r="D26" s="13">
        <f t="shared" si="7"/>
        <v>-35.099999999999994</v>
      </c>
      <c r="E26" s="13">
        <f t="shared" si="7"/>
        <v>0</v>
      </c>
      <c r="F26" s="13">
        <f t="shared" si="7"/>
        <v>-35.099999999999994</v>
      </c>
      <c r="G26" s="13">
        <f t="shared" si="7"/>
        <v>-35.099999999999994</v>
      </c>
      <c r="H26" s="13">
        <f t="shared" si="7"/>
        <v>-52.650000000000006</v>
      </c>
      <c r="I26" s="13">
        <f t="shared" si="7"/>
        <v>-60.2316</v>
      </c>
      <c r="J26" s="13">
        <f t="shared" si="7"/>
        <v>0</v>
      </c>
      <c r="K26" s="13">
        <f t="shared" si="7"/>
        <v>0</v>
      </c>
      <c r="L26" s="13">
        <f t="shared" si="7"/>
        <v>0</v>
      </c>
      <c r="M26" s="13">
        <f t="shared" si="7"/>
        <v>0</v>
      </c>
      <c r="N26" s="13">
        <f t="shared" si="7"/>
        <v>-70.270199999999988</v>
      </c>
      <c r="O26" s="13">
        <f t="shared" si="7"/>
        <v>-70.270199999999988</v>
      </c>
      <c r="P26" s="13">
        <f t="shared" si="7"/>
        <v>0</v>
      </c>
      <c r="Q26" s="13">
        <f t="shared" si="7"/>
        <v>0</v>
      </c>
      <c r="R26" s="13">
        <f t="shared" si="7"/>
        <v>0</v>
      </c>
      <c r="S26" s="13">
        <f t="shared" si="7"/>
        <v>0</v>
      </c>
      <c r="T26" s="13">
        <f t="shared" si="7"/>
        <v>0</v>
      </c>
      <c r="U26" s="13">
        <f t="shared" si="7"/>
        <v>0</v>
      </c>
      <c r="V26" s="13">
        <f t="shared" si="7"/>
        <v>0</v>
      </c>
      <c r="W26" s="13">
        <f t="shared" si="7"/>
        <v>0</v>
      </c>
      <c r="X26" s="13">
        <f t="shared" si="7"/>
        <v>0</v>
      </c>
      <c r="Y26" s="13">
        <f t="shared" si="7"/>
        <v>-60.2316</v>
      </c>
      <c r="Z26" s="13">
        <f t="shared" si="7"/>
        <v>-60.2316</v>
      </c>
      <c r="AA26" s="13">
        <f t="shared" si="7"/>
        <v>-60.2316</v>
      </c>
      <c r="AB26" s="81">
        <f t="shared" si="7"/>
        <v>-60.2316</v>
      </c>
      <c r="AC26" s="13">
        <f>-IF(ISBLANK(AC119),0,ROUND(MIN(AC$22*$H$10,AC$22-$B$7*$H$9),1))</f>
        <v>0</v>
      </c>
      <c r="AD26" s="90">
        <v>13</v>
      </c>
      <c r="AE26" s="90"/>
      <c r="AF26" s="93"/>
      <c r="AG26" s="87" t="s">
        <v>142</v>
      </c>
      <c r="AH26" s="106"/>
      <c r="AI26" s="34"/>
      <c r="AJ26" s="87"/>
      <c r="AK26" s="87"/>
    </row>
    <row r="27" spans="1:37" ht="12" x14ac:dyDescent="0.2">
      <c r="A27" s="427" t="s">
        <v>143</v>
      </c>
      <c r="B27" s="13">
        <f t="shared" ref="B27:AB27" si="8">SUM(B25:B26)</f>
        <v>153.4</v>
      </c>
      <c r="C27" s="13">
        <f t="shared" si="8"/>
        <v>153.4</v>
      </c>
      <c r="D27" s="13">
        <f t="shared" si="8"/>
        <v>153.4</v>
      </c>
      <c r="E27" s="13">
        <f t="shared" si="8"/>
        <v>188.5</v>
      </c>
      <c r="F27" s="13">
        <f t="shared" si="8"/>
        <v>153.4</v>
      </c>
      <c r="G27" s="13">
        <f t="shared" si="8"/>
        <v>153.4</v>
      </c>
      <c r="H27" s="13">
        <f t="shared" si="8"/>
        <v>153.4</v>
      </c>
      <c r="I27" s="13">
        <f t="shared" si="8"/>
        <v>163.36840000000001</v>
      </c>
      <c r="J27" s="13">
        <f t="shared" si="8"/>
        <v>276.25</v>
      </c>
      <c r="K27" s="13">
        <f t="shared" si="8"/>
        <v>258.7</v>
      </c>
      <c r="L27" s="13">
        <f t="shared" si="8"/>
        <v>293.8</v>
      </c>
      <c r="M27" s="13">
        <f t="shared" si="8"/>
        <v>293.8</v>
      </c>
      <c r="N27" s="13">
        <f t="shared" si="8"/>
        <v>188.4298</v>
      </c>
      <c r="O27" s="13">
        <f t="shared" si="8"/>
        <v>188.4298</v>
      </c>
      <c r="P27" s="13">
        <f t="shared" si="8"/>
        <v>293.8</v>
      </c>
      <c r="Q27" s="13">
        <f t="shared" si="8"/>
        <v>153.4</v>
      </c>
      <c r="R27" s="13">
        <f t="shared" si="8"/>
        <v>328.90000000000003</v>
      </c>
      <c r="S27" s="13">
        <f t="shared" si="8"/>
        <v>328.90000000000003</v>
      </c>
      <c r="T27" s="13">
        <f t="shared" si="8"/>
        <v>328.90000000000003</v>
      </c>
      <c r="U27" s="13">
        <f t="shared" si="8"/>
        <v>328.90000000000003</v>
      </c>
      <c r="V27" s="13">
        <f t="shared" si="8"/>
        <v>328.90000000000003</v>
      </c>
      <c r="W27" s="13">
        <f t="shared" si="8"/>
        <v>293.8</v>
      </c>
      <c r="X27" s="13">
        <f t="shared" si="8"/>
        <v>153.4</v>
      </c>
      <c r="Y27" s="13">
        <f t="shared" si="8"/>
        <v>163.36840000000001</v>
      </c>
      <c r="Z27" s="13">
        <f t="shared" si="8"/>
        <v>163.36840000000001</v>
      </c>
      <c r="AA27" s="13">
        <f t="shared" si="8"/>
        <v>163.36840000000001</v>
      </c>
      <c r="AB27" s="81">
        <f t="shared" si="8"/>
        <v>163.36840000000001</v>
      </c>
      <c r="AC27" s="13">
        <f t="shared" ref="AC27" si="9">SUM(AC25:AC26)</f>
        <v>153.4</v>
      </c>
      <c r="AD27" s="92">
        <v>14</v>
      </c>
      <c r="AE27" s="92"/>
      <c r="AF27" s="93"/>
      <c r="AG27" s="100"/>
      <c r="AH27" s="34"/>
      <c r="AI27" s="34"/>
      <c r="AJ27" s="87"/>
      <c r="AK27" s="87"/>
    </row>
    <row r="28" spans="1:37" s="11" customFormat="1" ht="12" x14ac:dyDescent="0.2">
      <c r="A28" s="12" t="s">
        <v>144</v>
      </c>
      <c r="B28" s="13">
        <f>AVERAGE(AA22:AB22,B22)</f>
        <v>198.9</v>
      </c>
      <c r="C28" s="13">
        <f>AVERAGE(AB22,B22:C22)</f>
        <v>187.20000000000002</v>
      </c>
      <c r="D28" s="13">
        <f t="shared" ref="D28:AC28" si="10">AVERAGE(B22:D22)</f>
        <v>175.5</v>
      </c>
      <c r="E28" s="13">
        <f t="shared" si="10"/>
        <v>175.5</v>
      </c>
      <c r="F28" s="13">
        <f t="shared" si="10"/>
        <v>175.5</v>
      </c>
      <c r="G28" s="13">
        <f t="shared" si="10"/>
        <v>175.5</v>
      </c>
      <c r="H28" s="13">
        <f t="shared" si="10"/>
        <v>181.35</v>
      </c>
      <c r="I28" s="13">
        <f t="shared" si="10"/>
        <v>193.05000000000004</v>
      </c>
      <c r="J28" s="13">
        <f t="shared" si="10"/>
        <v>210.6</v>
      </c>
      <c r="K28" s="13">
        <f t="shared" si="10"/>
        <v>228.15</v>
      </c>
      <c r="L28" s="13">
        <f t="shared" si="10"/>
        <v>239.85</v>
      </c>
      <c r="M28" s="13">
        <f t="shared" si="10"/>
        <v>245.69999999999996</v>
      </c>
      <c r="N28" s="13">
        <f t="shared" si="10"/>
        <v>245.69999999999996</v>
      </c>
      <c r="O28" s="13">
        <f t="shared" si="10"/>
        <v>245.69999999999996</v>
      </c>
      <c r="P28" s="13">
        <f t="shared" si="10"/>
        <v>245.69999999999996</v>
      </c>
      <c r="Q28" s="13">
        <f t="shared" si="10"/>
        <v>210.6</v>
      </c>
      <c r="R28" s="13">
        <f t="shared" si="10"/>
        <v>222.30000000000004</v>
      </c>
      <c r="S28" s="13">
        <f t="shared" si="10"/>
        <v>234</v>
      </c>
      <c r="T28" s="13">
        <f t="shared" si="10"/>
        <v>280.8</v>
      </c>
      <c r="U28" s="13">
        <f t="shared" si="10"/>
        <v>280.8</v>
      </c>
      <c r="V28" s="13">
        <f t="shared" si="10"/>
        <v>280.8</v>
      </c>
      <c r="W28" s="13">
        <f t="shared" si="10"/>
        <v>269.09999999999997</v>
      </c>
      <c r="X28" s="13">
        <f t="shared" si="10"/>
        <v>222.29999999999998</v>
      </c>
      <c r="Y28" s="13">
        <f t="shared" si="10"/>
        <v>198.9</v>
      </c>
      <c r="Z28" s="13">
        <f t="shared" si="10"/>
        <v>187.20000000000002</v>
      </c>
      <c r="AA28" s="13">
        <f t="shared" si="10"/>
        <v>210.60000000000002</v>
      </c>
      <c r="AB28" s="81">
        <f t="shared" si="10"/>
        <v>210.60000000000002</v>
      </c>
      <c r="AC28" s="13">
        <f t="shared" si="10"/>
        <v>187.20000000000002</v>
      </c>
      <c r="AD28" s="90">
        <v>15</v>
      </c>
      <c r="AE28" s="90"/>
      <c r="AF28" s="93"/>
      <c r="AG28" s="630" t="s">
        <v>258</v>
      </c>
      <c r="AH28" s="631"/>
      <c r="AI28" s="435" t="s">
        <v>146</v>
      </c>
      <c r="AJ28" s="87"/>
      <c r="AK28" s="87"/>
    </row>
    <row r="29" spans="1:37" s="11" customFormat="1" ht="12" x14ac:dyDescent="0.2">
      <c r="A29" s="151" t="s">
        <v>147</v>
      </c>
      <c r="B29" s="81"/>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51"/>
      <c r="AD29" s="92">
        <v>16</v>
      </c>
      <c r="AE29" s="92"/>
      <c r="AF29" s="107" t="s">
        <v>148</v>
      </c>
      <c r="AG29" s="436" t="s">
        <v>149</v>
      </c>
      <c r="AH29" s="437">
        <f>HLOOKUP($AH$20,$B$14:$AB$67,AD50,FALSE)</f>
        <v>0</v>
      </c>
      <c r="AI29" s="437"/>
      <c r="AJ29" s="87"/>
      <c r="AK29" s="87"/>
    </row>
    <row r="30" spans="1:37" s="11" customFormat="1" ht="12" x14ac:dyDescent="0.2">
      <c r="A30" s="12" t="s">
        <v>150</v>
      </c>
      <c r="B30" s="13">
        <f t="shared" ref="B30:AC30" si="11">IF(ISBLANK(B119),0,$B$11)</f>
        <v>2.6</v>
      </c>
      <c r="C30" s="13">
        <f t="shared" si="11"/>
        <v>2.6</v>
      </c>
      <c r="D30" s="13">
        <f t="shared" si="11"/>
        <v>2.6</v>
      </c>
      <c r="E30" s="13">
        <f t="shared" si="11"/>
        <v>0</v>
      </c>
      <c r="F30" s="13">
        <f t="shared" si="11"/>
        <v>2.6</v>
      </c>
      <c r="G30" s="13">
        <f t="shared" si="11"/>
        <v>2.6</v>
      </c>
      <c r="H30" s="13">
        <f t="shared" si="11"/>
        <v>2.6</v>
      </c>
      <c r="I30" s="13">
        <f t="shared" si="11"/>
        <v>2.6</v>
      </c>
      <c r="J30" s="13">
        <f t="shared" si="11"/>
        <v>0</v>
      </c>
      <c r="K30" s="13">
        <f t="shared" si="11"/>
        <v>0</v>
      </c>
      <c r="L30" s="13">
        <f t="shared" si="11"/>
        <v>0</v>
      </c>
      <c r="M30" s="13">
        <f t="shared" si="11"/>
        <v>0</v>
      </c>
      <c r="N30" s="13">
        <f t="shared" si="11"/>
        <v>2.6</v>
      </c>
      <c r="O30" s="13">
        <f t="shared" si="11"/>
        <v>2.6</v>
      </c>
      <c r="P30" s="13">
        <f t="shared" si="11"/>
        <v>0</v>
      </c>
      <c r="Q30" s="13">
        <f t="shared" si="11"/>
        <v>0</v>
      </c>
      <c r="R30" s="13">
        <f t="shared" si="11"/>
        <v>0</v>
      </c>
      <c r="S30" s="13">
        <f t="shared" si="11"/>
        <v>0</v>
      </c>
      <c r="T30" s="13">
        <f t="shared" si="11"/>
        <v>0</v>
      </c>
      <c r="U30" s="13">
        <f t="shared" si="11"/>
        <v>0</v>
      </c>
      <c r="V30" s="13">
        <f t="shared" si="11"/>
        <v>0</v>
      </c>
      <c r="W30" s="13">
        <f t="shared" si="11"/>
        <v>0</v>
      </c>
      <c r="X30" s="13">
        <f t="shared" si="11"/>
        <v>0</v>
      </c>
      <c r="Y30" s="13">
        <f t="shared" si="11"/>
        <v>2.6</v>
      </c>
      <c r="Z30" s="13">
        <f t="shared" si="11"/>
        <v>2.6</v>
      </c>
      <c r="AA30" s="13">
        <f t="shared" si="11"/>
        <v>2.6</v>
      </c>
      <c r="AB30" s="81">
        <f t="shared" si="11"/>
        <v>2.6</v>
      </c>
      <c r="AC30" s="429">
        <f t="shared" si="11"/>
        <v>2.6</v>
      </c>
      <c r="AD30" s="90">
        <v>17</v>
      </c>
      <c r="AE30" s="90"/>
      <c r="AF30" s="43"/>
      <c r="AG30" s="438">
        <v>15</v>
      </c>
      <c r="AH30" s="432">
        <f>IF(AH29-$AG30&lt;0,0,AH29-$AG30)</f>
        <v>0</v>
      </c>
      <c r="AI30" s="432">
        <f>IF(ISERROR(MAX(0,AH22-$AG30/AH23)),0,MAX(0,AH22-$AG30/AH23))</f>
        <v>0</v>
      </c>
      <c r="AJ30" s="87"/>
      <c r="AK30" s="87"/>
    </row>
    <row r="31" spans="1:37"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333"/>
      <c r="AC31" s="340"/>
      <c r="AD31" s="92">
        <v>18</v>
      </c>
      <c r="AE31" s="92"/>
      <c r="AF31" s="107" t="s">
        <v>152</v>
      </c>
      <c r="AG31" s="436" t="s">
        <v>149</v>
      </c>
      <c r="AH31" s="437">
        <f>HLOOKUP($AH$20,$B$14:$AB$67,AD52,FALSE)</f>
        <v>8</v>
      </c>
      <c r="AI31" s="437"/>
      <c r="AJ31" s="87"/>
      <c r="AK31" s="87"/>
    </row>
    <row r="32" spans="1:37" s="11" customFormat="1" thickBot="1" x14ac:dyDescent="0.25">
      <c r="A32" s="412" t="s">
        <v>153</v>
      </c>
      <c r="B32" s="425">
        <v>0.7</v>
      </c>
      <c r="C32" s="425">
        <v>0.7</v>
      </c>
      <c r="D32" s="425">
        <v>0.7</v>
      </c>
      <c r="E32" s="425">
        <v>0.7</v>
      </c>
      <c r="F32" s="425">
        <v>0.7</v>
      </c>
      <c r="G32" s="425">
        <v>0.7</v>
      </c>
      <c r="H32" s="425">
        <v>0.8</v>
      </c>
      <c r="I32" s="425">
        <v>0.8</v>
      </c>
      <c r="J32" s="425">
        <v>0.8</v>
      </c>
      <c r="K32" s="425">
        <v>0.9</v>
      </c>
      <c r="L32" s="425">
        <v>0.9</v>
      </c>
      <c r="M32" s="425">
        <v>0.9</v>
      </c>
      <c r="N32" s="425">
        <v>1</v>
      </c>
      <c r="O32" s="425">
        <v>1</v>
      </c>
      <c r="P32" s="425">
        <v>1</v>
      </c>
      <c r="Q32" s="425">
        <v>1</v>
      </c>
      <c r="R32" s="425">
        <v>1</v>
      </c>
      <c r="S32" s="425">
        <v>1</v>
      </c>
      <c r="T32" s="425">
        <v>1</v>
      </c>
      <c r="U32" s="425">
        <v>1</v>
      </c>
      <c r="V32" s="425">
        <v>1</v>
      </c>
      <c r="W32" s="425">
        <v>1</v>
      </c>
      <c r="X32" s="425">
        <v>1</v>
      </c>
      <c r="Y32" s="425">
        <v>1</v>
      </c>
      <c r="Z32" s="425">
        <v>1</v>
      </c>
      <c r="AA32" s="425">
        <v>1</v>
      </c>
      <c r="AB32" s="424">
        <v>1</v>
      </c>
      <c r="AC32" s="425">
        <v>0.7</v>
      </c>
      <c r="AD32" s="90">
        <v>19</v>
      </c>
      <c r="AE32" s="90"/>
      <c r="AF32" s="34"/>
      <c r="AG32" s="441">
        <v>10</v>
      </c>
      <c r="AH32" s="442">
        <f>IF(AH31-$AG32&lt;0,0,AH31-$AG32)</f>
        <v>0</v>
      </c>
      <c r="AI32" s="442">
        <f>IF(ISERROR(MAX(0,AH22-$AG32/AH23)),0,MAX(0,AH22-$AG32/AH23))</f>
        <v>0</v>
      </c>
      <c r="AJ32" s="87"/>
      <c r="AK32" s="87"/>
    </row>
    <row r="33" spans="1:37" s="11" customFormat="1" ht="12" x14ac:dyDescent="0.2">
      <c r="A33" s="412" t="s">
        <v>154</v>
      </c>
      <c r="B33" s="443">
        <f t="shared" ref="B33:AC33" si="12">B32*0.8</f>
        <v>0.55999999999999994</v>
      </c>
      <c r="C33" s="443">
        <f t="shared" si="12"/>
        <v>0.55999999999999994</v>
      </c>
      <c r="D33" s="443">
        <f t="shared" si="12"/>
        <v>0.55999999999999994</v>
      </c>
      <c r="E33" s="443">
        <f t="shared" si="12"/>
        <v>0.55999999999999994</v>
      </c>
      <c r="F33" s="443">
        <f t="shared" si="12"/>
        <v>0.55999999999999994</v>
      </c>
      <c r="G33" s="443">
        <f t="shared" si="12"/>
        <v>0.55999999999999994</v>
      </c>
      <c r="H33" s="443">
        <f t="shared" si="12"/>
        <v>0.64000000000000012</v>
      </c>
      <c r="I33" s="443">
        <f t="shared" si="12"/>
        <v>0.64000000000000012</v>
      </c>
      <c r="J33" s="443">
        <f t="shared" si="12"/>
        <v>0.64000000000000012</v>
      </c>
      <c r="K33" s="443">
        <f t="shared" si="12"/>
        <v>0.72000000000000008</v>
      </c>
      <c r="L33" s="443">
        <f t="shared" si="12"/>
        <v>0.72000000000000008</v>
      </c>
      <c r="M33" s="443">
        <f t="shared" si="12"/>
        <v>0.72000000000000008</v>
      </c>
      <c r="N33" s="443">
        <f t="shared" si="12"/>
        <v>0.8</v>
      </c>
      <c r="O33" s="443">
        <f t="shared" si="12"/>
        <v>0.8</v>
      </c>
      <c r="P33" s="443">
        <f t="shared" si="12"/>
        <v>0.8</v>
      </c>
      <c r="Q33" s="443">
        <f t="shared" si="12"/>
        <v>0.8</v>
      </c>
      <c r="R33" s="443">
        <f t="shared" si="12"/>
        <v>0.8</v>
      </c>
      <c r="S33" s="443">
        <f t="shared" si="12"/>
        <v>0.8</v>
      </c>
      <c r="T33" s="443">
        <f t="shared" si="12"/>
        <v>0.8</v>
      </c>
      <c r="U33" s="443">
        <f t="shared" si="12"/>
        <v>0.8</v>
      </c>
      <c r="V33" s="443">
        <f t="shared" si="12"/>
        <v>0.8</v>
      </c>
      <c r="W33" s="443">
        <f t="shared" si="12"/>
        <v>0.8</v>
      </c>
      <c r="X33" s="443">
        <f t="shared" si="12"/>
        <v>0.8</v>
      </c>
      <c r="Y33" s="443">
        <f t="shared" si="12"/>
        <v>0.8</v>
      </c>
      <c r="Z33" s="443">
        <f t="shared" si="12"/>
        <v>0.8</v>
      </c>
      <c r="AA33" s="443">
        <f t="shared" si="12"/>
        <v>0.8</v>
      </c>
      <c r="AB33" s="444">
        <f t="shared" si="12"/>
        <v>0.8</v>
      </c>
      <c r="AC33" s="443">
        <f t="shared" si="12"/>
        <v>0.55999999999999994</v>
      </c>
      <c r="AD33" s="92">
        <v>20</v>
      </c>
      <c r="AE33" s="92"/>
      <c r="AF33" s="34"/>
      <c r="AG33" s="108" t="s">
        <v>155</v>
      </c>
      <c r="AH33" s="108" t="s">
        <v>156</v>
      </c>
      <c r="AI33" s="108" t="s">
        <v>157</v>
      </c>
      <c r="AJ33" s="87"/>
      <c r="AK33" s="87"/>
    </row>
    <row r="34" spans="1:37" s="11" customFormat="1" ht="12" x14ac:dyDescent="0.2">
      <c r="A34" s="445" t="s">
        <v>158</v>
      </c>
      <c r="B34" s="446">
        <f>((B36*$B$171)/$B$2)</f>
        <v>0.49191974432637625</v>
      </c>
      <c r="C34" s="446">
        <f t="shared" ref="C34:AC34" si="13">((C36*$B$171)/$B$2)</f>
        <v>0.49191974432637625</v>
      </c>
      <c r="D34" s="446">
        <f t="shared" si="13"/>
        <v>0.49191974432637625</v>
      </c>
      <c r="E34" s="446">
        <f t="shared" si="13"/>
        <v>0.49191974432637625</v>
      </c>
      <c r="F34" s="446">
        <f t="shared" si="13"/>
        <v>0.49191974432637625</v>
      </c>
      <c r="G34" s="446">
        <f t="shared" si="13"/>
        <v>0.49191974432637625</v>
      </c>
      <c r="H34" s="446">
        <f t="shared" si="13"/>
        <v>0.56219399351585864</v>
      </c>
      <c r="I34" s="446">
        <f t="shared" si="13"/>
        <v>0.56219399351585864</v>
      </c>
      <c r="J34" s="446">
        <f t="shared" si="13"/>
        <v>0.56219399351585864</v>
      </c>
      <c r="K34" s="446">
        <f t="shared" si="13"/>
        <v>0.63246824270534086</v>
      </c>
      <c r="L34" s="446">
        <f t="shared" si="13"/>
        <v>0.63246824270534086</v>
      </c>
      <c r="M34" s="446">
        <f t="shared" si="13"/>
        <v>0.63246824270534086</v>
      </c>
      <c r="N34" s="446">
        <f t="shared" si="13"/>
        <v>0.70274249189482318</v>
      </c>
      <c r="O34" s="446">
        <f t="shared" si="13"/>
        <v>0.70274249189482318</v>
      </c>
      <c r="P34" s="446">
        <f t="shared" si="13"/>
        <v>0.70274249189482318</v>
      </c>
      <c r="Q34" s="446">
        <f t="shared" si="13"/>
        <v>0.70274249189482318</v>
      </c>
      <c r="R34" s="446">
        <f t="shared" si="13"/>
        <v>0.70274249189482318</v>
      </c>
      <c r="S34" s="446">
        <f t="shared" si="13"/>
        <v>0.70274249189482318</v>
      </c>
      <c r="T34" s="446">
        <f t="shared" si="13"/>
        <v>0.70274249189482318</v>
      </c>
      <c r="U34" s="446">
        <f t="shared" si="13"/>
        <v>0.70274249189482318</v>
      </c>
      <c r="V34" s="446">
        <f t="shared" si="13"/>
        <v>0.70274249189482318</v>
      </c>
      <c r="W34" s="446">
        <f t="shared" si="13"/>
        <v>0.70274249189482318</v>
      </c>
      <c r="X34" s="446">
        <f t="shared" si="13"/>
        <v>0.70274249189482318</v>
      </c>
      <c r="Y34" s="446">
        <f t="shared" si="13"/>
        <v>0.70274249189482318</v>
      </c>
      <c r="Z34" s="446">
        <f t="shared" si="13"/>
        <v>0.70274249189482318</v>
      </c>
      <c r="AA34" s="446">
        <f t="shared" si="13"/>
        <v>0.70274249189482318</v>
      </c>
      <c r="AB34" s="446">
        <f t="shared" si="13"/>
        <v>0.70274249189482318</v>
      </c>
      <c r="AC34" s="446">
        <f t="shared" si="13"/>
        <v>0.49191974432637625</v>
      </c>
      <c r="AD34" s="92"/>
      <c r="AE34" s="92"/>
      <c r="AF34" s="43" t="s">
        <v>159</v>
      </c>
      <c r="AG34" s="447">
        <f>SUM(AG30,AG32)</f>
        <v>25</v>
      </c>
      <c r="AH34" s="447">
        <f>SUM(AAH38,AH31)</f>
        <v>8</v>
      </c>
      <c r="AI34" s="447">
        <f>MAX(AI29:AI32)</f>
        <v>0</v>
      </c>
      <c r="AJ34" s="87"/>
      <c r="AK34" s="87"/>
    </row>
    <row r="35" spans="1:37" s="11" customFormat="1" ht="12" x14ac:dyDescent="0.2">
      <c r="A35" s="427" t="s">
        <v>160</v>
      </c>
      <c r="B35" s="448">
        <f t="shared" ref="B35:AC35" si="14">ROUND($B$2*B$32,2)</f>
        <v>4.9000000000000004</v>
      </c>
      <c r="C35" s="448">
        <f t="shared" si="14"/>
        <v>4.9000000000000004</v>
      </c>
      <c r="D35" s="448">
        <f t="shared" si="14"/>
        <v>4.9000000000000004</v>
      </c>
      <c r="E35" s="448">
        <f t="shared" si="14"/>
        <v>4.9000000000000004</v>
      </c>
      <c r="F35" s="448">
        <f t="shared" si="14"/>
        <v>4.9000000000000004</v>
      </c>
      <c r="G35" s="448">
        <f t="shared" si="14"/>
        <v>4.9000000000000004</v>
      </c>
      <c r="H35" s="448">
        <f t="shared" si="14"/>
        <v>5.6</v>
      </c>
      <c r="I35" s="448">
        <f t="shared" si="14"/>
        <v>5.6</v>
      </c>
      <c r="J35" s="448">
        <f t="shared" si="14"/>
        <v>5.6</v>
      </c>
      <c r="K35" s="448">
        <f t="shared" si="14"/>
        <v>6.3</v>
      </c>
      <c r="L35" s="448">
        <f t="shared" si="14"/>
        <v>6.3</v>
      </c>
      <c r="M35" s="448">
        <f t="shared" si="14"/>
        <v>6.3</v>
      </c>
      <c r="N35" s="448">
        <f t="shared" si="14"/>
        <v>7</v>
      </c>
      <c r="O35" s="448">
        <f t="shared" si="14"/>
        <v>7</v>
      </c>
      <c r="P35" s="448">
        <f t="shared" si="14"/>
        <v>7</v>
      </c>
      <c r="Q35" s="448">
        <f t="shared" si="14"/>
        <v>7</v>
      </c>
      <c r="R35" s="448">
        <f t="shared" si="14"/>
        <v>7</v>
      </c>
      <c r="S35" s="448">
        <f t="shared" si="14"/>
        <v>7</v>
      </c>
      <c r="T35" s="448">
        <f t="shared" si="14"/>
        <v>7</v>
      </c>
      <c r="U35" s="448">
        <f t="shared" si="14"/>
        <v>7</v>
      </c>
      <c r="V35" s="448">
        <f t="shared" si="14"/>
        <v>7</v>
      </c>
      <c r="W35" s="448">
        <f t="shared" si="14"/>
        <v>7</v>
      </c>
      <c r="X35" s="448">
        <f t="shared" si="14"/>
        <v>7</v>
      </c>
      <c r="Y35" s="448">
        <f t="shared" si="14"/>
        <v>7</v>
      </c>
      <c r="Z35" s="448">
        <f t="shared" si="14"/>
        <v>7</v>
      </c>
      <c r="AA35" s="448">
        <f t="shared" si="14"/>
        <v>7</v>
      </c>
      <c r="AB35" s="449">
        <f t="shared" si="14"/>
        <v>7</v>
      </c>
      <c r="AC35" s="448">
        <f t="shared" si="14"/>
        <v>4.9000000000000004</v>
      </c>
      <c r="AD35" s="90">
        <v>21</v>
      </c>
      <c r="AE35" s="90"/>
      <c r="AG35" s="34"/>
      <c r="AH35" s="34"/>
      <c r="AI35" s="34"/>
      <c r="AK35" s="87"/>
    </row>
    <row r="36" spans="1:37" ht="12" x14ac:dyDescent="0.2">
      <c r="A36" s="427" t="s">
        <v>134</v>
      </c>
      <c r="B36" s="448">
        <f t="shared" ref="B36:AC36" si="15">ROUND($B$2*B$33,2)</f>
        <v>3.92</v>
      </c>
      <c r="C36" s="448">
        <f t="shared" si="15"/>
        <v>3.92</v>
      </c>
      <c r="D36" s="448">
        <f t="shared" si="15"/>
        <v>3.92</v>
      </c>
      <c r="E36" s="448">
        <f t="shared" si="15"/>
        <v>3.92</v>
      </c>
      <c r="F36" s="448">
        <f t="shared" si="15"/>
        <v>3.92</v>
      </c>
      <c r="G36" s="448">
        <f t="shared" si="15"/>
        <v>3.92</v>
      </c>
      <c r="H36" s="448">
        <f t="shared" si="15"/>
        <v>4.4800000000000004</v>
      </c>
      <c r="I36" s="448">
        <f t="shared" si="15"/>
        <v>4.4800000000000004</v>
      </c>
      <c r="J36" s="448">
        <f t="shared" si="15"/>
        <v>4.4800000000000004</v>
      </c>
      <c r="K36" s="448">
        <f t="shared" si="15"/>
        <v>5.04</v>
      </c>
      <c r="L36" s="448">
        <f t="shared" si="15"/>
        <v>5.04</v>
      </c>
      <c r="M36" s="448">
        <f t="shared" si="15"/>
        <v>5.04</v>
      </c>
      <c r="N36" s="448">
        <f t="shared" si="15"/>
        <v>5.6</v>
      </c>
      <c r="O36" s="448">
        <f t="shared" si="15"/>
        <v>5.6</v>
      </c>
      <c r="P36" s="448">
        <f t="shared" si="15"/>
        <v>5.6</v>
      </c>
      <c r="Q36" s="448">
        <f t="shared" si="15"/>
        <v>5.6</v>
      </c>
      <c r="R36" s="448">
        <f t="shared" si="15"/>
        <v>5.6</v>
      </c>
      <c r="S36" s="448">
        <f t="shared" si="15"/>
        <v>5.6</v>
      </c>
      <c r="T36" s="448">
        <f t="shared" si="15"/>
        <v>5.6</v>
      </c>
      <c r="U36" s="448">
        <f t="shared" si="15"/>
        <v>5.6</v>
      </c>
      <c r="V36" s="448">
        <f t="shared" si="15"/>
        <v>5.6</v>
      </c>
      <c r="W36" s="448">
        <f t="shared" si="15"/>
        <v>5.6</v>
      </c>
      <c r="X36" s="448">
        <f t="shared" si="15"/>
        <v>5.6</v>
      </c>
      <c r="Y36" s="448">
        <f t="shared" si="15"/>
        <v>5.6</v>
      </c>
      <c r="Z36" s="448">
        <f t="shared" si="15"/>
        <v>5.6</v>
      </c>
      <c r="AA36" s="448">
        <f t="shared" si="15"/>
        <v>5.6</v>
      </c>
      <c r="AB36" s="449">
        <f t="shared" si="15"/>
        <v>5.6</v>
      </c>
      <c r="AC36" s="448">
        <f t="shared" si="15"/>
        <v>3.92</v>
      </c>
      <c r="AD36" s="92">
        <v>22</v>
      </c>
      <c r="AE36" s="92"/>
      <c r="AF36" s="11"/>
      <c r="AG36" s="106" t="s">
        <v>161</v>
      </c>
      <c r="AH36" s="34"/>
      <c r="AI36" s="34"/>
      <c r="AJ36" s="11"/>
      <c r="AK36" s="87"/>
    </row>
    <row r="37" spans="1:37" ht="12" x14ac:dyDescent="0.2">
      <c r="A37" s="450" t="s">
        <v>162</v>
      </c>
      <c r="B37" s="451">
        <f>B34*$B$2</f>
        <v>3.4434382102846337</v>
      </c>
      <c r="C37" s="451">
        <f t="shared" ref="C37:AC37" si="16">C34*$B$2</f>
        <v>3.4434382102846337</v>
      </c>
      <c r="D37" s="451">
        <f t="shared" si="16"/>
        <v>3.4434382102846337</v>
      </c>
      <c r="E37" s="451">
        <f t="shared" si="16"/>
        <v>3.4434382102846337</v>
      </c>
      <c r="F37" s="451">
        <f t="shared" si="16"/>
        <v>3.4434382102846337</v>
      </c>
      <c r="G37" s="451">
        <f t="shared" si="16"/>
        <v>3.4434382102846337</v>
      </c>
      <c r="H37" s="451">
        <f t="shared" si="16"/>
        <v>3.9353579546110105</v>
      </c>
      <c r="I37" s="451">
        <f t="shared" si="16"/>
        <v>3.9353579546110105</v>
      </c>
      <c r="J37" s="451">
        <f t="shared" si="16"/>
        <v>3.9353579546110105</v>
      </c>
      <c r="K37" s="451">
        <f t="shared" si="16"/>
        <v>4.4272776989373863</v>
      </c>
      <c r="L37" s="451">
        <f t="shared" si="16"/>
        <v>4.4272776989373863</v>
      </c>
      <c r="M37" s="451">
        <f t="shared" si="16"/>
        <v>4.4272776989373863</v>
      </c>
      <c r="N37" s="451">
        <f t="shared" si="16"/>
        <v>4.9191974432637622</v>
      </c>
      <c r="O37" s="451">
        <f t="shared" si="16"/>
        <v>4.9191974432637622</v>
      </c>
      <c r="P37" s="451">
        <f t="shared" si="16"/>
        <v>4.9191974432637622</v>
      </c>
      <c r="Q37" s="451">
        <f t="shared" si="16"/>
        <v>4.9191974432637622</v>
      </c>
      <c r="R37" s="451">
        <f t="shared" si="16"/>
        <v>4.9191974432637622</v>
      </c>
      <c r="S37" s="451">
        <f t="shared" si="16"/>
        <v>4.9191974432637622</v>
      </c>
      <c r="T37" s="451">
        <f t="shared" si="16"/>
        <v>4.9191974432637622</v>
      </c>
      <c r="U37" s="451">
        <f t="shared" si="16"/>
        <v>4.9191974432637622</v>
      </c>
      <c r="V37" s="451">
        <f t="shared" si="16"/>
        <v>4.9191974432637622</v>
      </c>
      <c r="W37" s="451">
        <f t="shared" si="16"/>
        <v>4.9191974432637622</v>
      </c>
      <c r="X37" s="451">
        <f t="shared" si="16"/>
        <v>4.9191974432637622</v>
      </c>
      <c r="Y37" s="451">
        <f t="shared" si="16"/>
        <v>4.9191974432637622</v>
      </c>
      <c r="Z37" s="451">
        <f t="shared" si="16"/>
        <v>4.9191974432637622</v>
      </c>
      <c r="AA37" s="451">
        <f t="shared" si="16"/>
        <v>4.9191974432637622</v>
      </c>
      <c r="AB37" s="451">
        <f t="shared" si="16"/>
        <v>4.9191974432637622</v>
      </c>
      <c r="AC37" s="451">
        <f t="shared" si="16"/>
        <v>3.4434382102846337</v>
      </c>
      <c r="AD37" s="92"/>
      <c r="AE37" s="92"/>
      <c r="AF37" s="34"/>
      <c r="AG37" s="34"/>
      <c r="AH37" s="34"/>
      <c r="AI37" s="34"/>
      <c r="AJ37" s="87"/>
      <c r="AK37" s="87"/>
    </row>
    <row r="38" spans="1:37" ht="12" x14ac:dyDescent="0.2">
      <c r="A38" s="452"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454"/>
      <c r="AD38" s="90">
        <v>23</v>
      </c>
      <c r="AE38" s="90"/>
      <c r="AF38" s="34"/>
      <c r="AG38" s="630" t="s">
        <v>164</v>
      </c>
      <c r="AH38" s="631"/>
      <c r="AI38" s="435" t="s">
        <v>146</v>
      </c>
      <c r="AJ38" s="87"/>
      <c r="AK38" s="87"/>
    </row>
    <row r="39" spans="1:37" ht="12" x14ac:dyDescent="0.2">
      <c r="A39" s="455" t="s">
        <v>165</v>
      </c>
      <c r="B39" s="456">
        <f t="shared" ref="B39:AC39" si="17">IF($B172&gt;=0.9, B$36,B$36*$B172)</f>
        <v>0.69149562147381538</v>
      </c>
      <c r="C39" s="456">
        <f t="shared" si="17"/>
        <v>0.69149562147381538</v>
      </c>
      <c r="D39" s="456">
        <f t="shared" si="17"/>
        <v>0.69149562147381538</v>
      </c>
      <c r="E39" s="456">
        <f t="shared" si="17"/>
        <v>0.69149562147381538</v>
      </c>
      <c r="F39" s="456">
        <f t="shared" si="17"/>
        <v>0.69149562147381538</v>
      </c>
      <c r="G39" s="456">
        <f t="shared" si="17"/>
        <v>0.69149562147381538</v>
      </c>
      <c r="H39" s="456">
        <f t="shared" si="17"/>
        <v>0.79028071025578916</v>
      </c>
      <c r="I39" s="456">
        <f t="shared" si="17"/>
        <v>0.79028071025578916</v>
      </c>
      <c r="J39" s="456">
        <f t="shared" si="17"/>
        <v>0.79028071025578916</v>
      </c>
      <c r="K39" s="456">
        <f t="shared" si="17"/>
        <v>0.88906579903776273</v>
      </c>
      <c r="L39" s="456">
        <f t="shared" si="17"/>
        <v>0.88906579903776273</v>
      </c>
      <c r="M39" s="456">
        <f t="shared" si="17"/>
        <v>0.88906579903776273</v>
      </c>
      <c r="N39" s="456">
        <f t="shared" si="17"/>
        <v>0.98785088781973629</v>
      </c>
      <c r="O39" s="456">
        <f t="shared" si="17"/>
        <v>0.98785088781973629</v>
      </c>
      <c r="P39" s="456">
        <f t="shared" si="17"/>
        <v>0.98785088781973629</v>
      </c>
      <c r="Q39" s="456">
        <f t="shared" si="17"/>
        <v>0.98785088781973629</v>
      </c>
      <c r="R39" s="456">
        <f t="shared" si="17"/>
        <v>0.98785088781973629</v>
      </c>
      <c r="S39" s="456">
        <f t="shared" si="17"/>
        <v>0.98785088781973629</v>
      </c>
      <c r="T39" s="456">
        <f t="shared" si="17"/>
        <v>0.98785088781973629</v>
      </c>
      <c r="U39" s="456">
        <f t="shared" si="17"/>
        <v>0.98785088781973629</v>
      </c>
      <c r="V39" s="456">
        <f t="shared" si="17"/>
        <v>0.98785088781973629</v>
      </c>
      <c r="W39" s="456">
        <f t="shared" si="17"/>
        <v>0.98785088781973629</v>
      </c>
      <c r="X39" s="456">
        <f t="shared" si="17"/>
        <v>0.98785088781973629</v>
      </c>
      <c r="Y39" s="456">
        <f t="shared" si="17"/>
        <v>0.98785088781973629</v>
      </c>
      <c r="Z39" s="456">
        <f t="shared" si="17"/>
        <v>0.98785088781973629</v>
      </c>
      <c r="AA39" s="456">
        <f t="shared" si="17"/>
        <v>0.98785088781973629</v>
      </c>
      <c r="AB39" s="456">
        <f t="shared" si="17"/>
        <v>0.98785088781973629</v>
      </c>
      <c r="AC39" s="456">
        <f t="shared" si="17"/>
        <v>0.69149562147381538</v>
      </c>
      <c r="AD39" s="92">
        <v>24</v>
      </c>
      <c r="AE39" s="92"/>
      <c r="AF39" s="34"/>
      <c r="AG39" s="436" t="s">
        <v>166</v>
      </c>
      <c r="AH39" s="437">
        <f>HLOOKUP($AH$20,$B$14:$AB$67,AD55,FALSE)</f>
        <v>0</v>
      </c>
      <c r="AI39" s="437"/>
      <c r="AJ39" s="87"/>
      <c r="AK39" s="87"/>
    </row>
    <row r="40" spans="1:37" ht="12" x14ac:dyDescent="0.2">
      <c r="A40" s="455" t="s">
        <v>167</v>
      </c>
      <c r="B40" s="456">
        <f t="shared" ref="B40:AC40" si="18">IF($B173&gt;=0.9, B$36,B$36*$B173)</f>
        <v>3.1818102523277156</v>
      </c>
      <c r="C40" s="456">
        <f t="shared" si="18"/>
        <v>3.1818102523277156</v>
      </c>
      <c r="D40" s="456">
        <f t="shared" si="18"/>
        <v>3.1818102523277156</v>
      </c>
      <c r="E40" s="456">
        <f t="shared" si="18"/>
        <v>3.1818102523277156</v>
      </c>
      <c r="F40" s="456">
        <f t="shared" si="18"/>
        <v>3.1818102523277156</v>
      </c>
      <c r="G40" s="456">
        <f t="shared" si="18"/>
        <v>3.1818102523277156</v>
      </c>
      <c r="H40" s="456">
        <f t="shared" si="18"/>
        <v>3.6363545740888181</v>
      </c>
      <c r="I40" s="456">
        <f t="shared" si="18"/>
        <v>3.6363545740888181</v>
      </c>
      <c r="J40" s="456">
        <f t="shared" si="18"/>
        <v>3.6363545740888181</v>
      </c>
      <c r="K40" s="456">
        <f t="shared" si="18"/>
        <v>4.0908988958499197</v>
      </c>
      <c r="L40" s="456">
        <f t="shared" si="18"/>
        <v>4.0908988958499197</v>
      </c>
      <c r="M40" s="456">
        <f t="shared" si="18"/>
        <v>4.0908988958499197</v>
      </c>
      <c r="N40" s="456">
        <f t="shared" si="18"/>
        <v>4.5454432176110222</v>
      </c>
      <c r="O40" s="456">
        <f t="shared" si="18"/>
        <v>4.5454432176110222</v>
      </c>
      <c r="P40" s="456">
        <f t="shared" si="18"/>
        <v>4.5454432176110222</v>
      </c>
      <c r="Q40" s="456">
        <f t="shared" si="18"/>
        <v>4.5454432176110222</v>
      </c>
      <c r="R40" s="456">
        <f t="shared" si="18"/>
        <v>4.5454432176110222</v>
      </c>
      <c r="S40" s="456">
        <f t="shared" si="18"/>
        <v>4.5454432176110222</v>
      </c>
      <c r="T40" s="456">
        <f t="shared" si="18"/>
        <v>4.5454432176110222</v>
      </c>
      <c r="U40" s="456">
        <f t="shared" si="18"/>
        <v>4.5454432176110222</v>
      </c>
      <c r="V40" s="456">
        <f t="shared" si="18"/>
        <v>4.5454432176110222</v>
      </c>
      <c r="W40" s="456">
        <f t="shared" si="18"/>
        <v>4.5454432176110222</v>
      </c>
      <c r="X40" s="456">
        <f t="shared" si="18"/>
        <v>4.5454432176110222</v>
      </c>
      <c r="Y40" s="456">
        <f t="shared" si="18"/>
        <v>4.5454432176110222</v>
      </c>
      <c r="Z40" s="456">
        <f t="shared" si="18"/>
        <v>4.5454432176110222</v>
      </c>
      <c r="AA40" s="456">
        <f t="shared" si="18"/>
        <v>4.5454432176110222</v>
      </c>
      <c r="AB40" s="456">
        <f t="shared" si="18"/>
        <v>4.5454432176110222</v>
      </c>
      <c r="AC40" s="456">
        <f t="shared" si="18"/>
        <v>3.1818102523277156</v>
      </c>
      <c r="AD40" s="90">
        <v>25</v>
      </c>
      <c r="AE40" s="90"/>
      <c r="AF40" s="34"/>
      <c r="AG40" s="438">
        <v>8</v>
      </c>
      <c r="AH40" s="432">
        <f>IF(AH39-$AG40&lt;0,0,AH39-$AG40)</f>
        <v>0</v>
      </c>
      <c r="AI40" s="432">
        <f>IF(ISERROR((AH40/$AH$52)*$AH$22),0,(AH40/$AH$52)*$AH$22)</f>
        <v>0</v>
      </c>
      <c r="AJ40" s="87"/>
      <c r="AK40" s="87"/>
    </row>
    <row r="41" spans="1:37" ht="12" x14ac:dyDescent="0.2">
      <c r="A41" s="455" t="s">
        <v>168</v>
      </c>
      <c r="B41" s="456">
        <f t="shared" ref="B41:AC41" si="19">IF($B174&gt;=0.9, B$36,B$36*$B174)</f>
        <v>3.2285043785261855</v>
      </c>
      <c r="C41" s="456">
        <f t="shared" si="19"/>
        <v>3.2285043785261855</v>
      </c>
      <c r="D41" s="456">
        <f t="shared" si="19"/>
        <v>3.2285043785261855</v>
      </c>
      <c r="E41" s="456">
        <f t="shared" si="19"/>
        <v>3.2285043785261855</v>
      </c>
      <c r="F41" s="456">
        <f t="shared" si="19"/>
        <v>3.2285043785261855</v>
      </c>
      <c r="G41" s="456">
        <f t="shared" si="19"/>
        <v>3.2285043785261855</v>
      </c>
      <c r="H41" s="456">
        <f t="shared" si="19"/>
        <v>3.6897192897442124</v>
      </c>
      <c r="I41" s="456">
        <f t="shared" si="19"/>
        <v>3.6897192897442124</v>
      </c>
      <c r="J41" s="456">
        <f t="shared" si="19"/>
        <v>3.6897192897442124</v>
      </c>
      <c r="K41" s="456">
        <f t="shared" si="19"/>
        <v>4.1509342009622383</v>
      </c>
      <c r="L41" s="456">
        <f t="shared" si="19"/>
        <v>4.1509342009622383</v>
      </c>
      <c r="M41" s="456">
        <f t="shared" si="19"/>
        <v>4.1509342009622383</v>
      </c>
      <c r="N41" s="456">
        <f t="shared" si="19"/>
        <v>4.6121491121802647</v>
      </c>
      <c r="O41" s="456">
        <f t="shared" si="19"/>
        <v>4.6121491121802647</v>
      </c>
      <c r="P41" s="456">
        <f t="shared" si="19"/>
        <v>4.6121491121802647</v>
      </c>
      <c r="Q41" s="456">
        <f t="shared" si="19"/>
        <v>4.6121491121802647</v>
      </c>
      <c r="R41" s="456">
        <f t="shared" si="19"/>
        <v>4.6121491121802647</v>
      </c>
      <c r="S41" s="456">
        <f t="shared" si="19"/>
        <v>4.6121491121802647</v>
      </c>
      <c r="T41" s="456">
        <f t="shared" si="19"/>
        <v>4.6121491121802647</v>
      </c>
      <c r="U41" s="456">
        <f t="shared" si="19"/>
        <v>4.6121491121802647</v>
      </c>
      <c r="V41" s="456">
        <f t="shared" si="19"/>
        <v>4.6121491121802647</v>
      </c>
      <c r="W41" s="456">
        <f t="shared" si="19"/>
        <v>4.6121491121802647</v>
      </c>
      <c r="X41" s="456">
        <f t="shared" si="19"/>
        <v>4.6121491121802647</v>
      </c>
      <c r="Y41" s="456">
        <f t="shared" si="19"/>
        <v>4.6121491121802647</v>
      </c>
      <c r="Z41" s="456">
        <f t="shared" si="19"/>
        <v>4.6121491121802647</v>
      </c>
      <c r="AA41" s="456">
        <f t="shared" si="19"/>
        <v>4.6121491121802647</v>
      </c>
      <c r="AB41" s="456">
        <f t="shared" si="19"/>
        <v>4.6121491121802647</v>
      </c>
      <c r="AC41" s="456">
        <f t="shared" si="19"/>
        <v>3.2285043785261855</v>
      </c>
      <c r="AD41" s="92">
        <v>26</v>
      </c>
      <c r="AE41" s="92"/>
      <c r="AF41" s="109"/>
      <c r="AG41" s="436" t="s">
        <v>169</v>
      </c>
      <c r="AH41" s="437">
        <f>HLOOKUP($AH$20,$B$14:$AB$67,AD57,FALSE)</f>
        <v>4</v>
      </c>
      <c r="AI41" s="437"/>
      <c r="AJ41" s="87"/>
      <c r="AK41" s="87"/>
    </row>
    <row r="42" spans="1:37" ht="12" x14ac:dyDescent="0.2">
      <c r="A42" s="421" t="s">
        <v>170</v>
      </c>
      <c r="B42" s="456">
        <f t="shared" ref="B42:AC42" si="20">IF($B175&gt;=0.9, B$36,B$36*$B175)</f>
        <v>3.1818102523277156</v>
      </c>
      <c r="C42" s="456">
        <f t="shared" si="20"/>
        <v>3.1818102523277156</v>
      </c>
      <c r="D42" s="456">
        <f t="shared" si="20"/>
        <v>3.1818102523277156</v>
      </c>
      <c r="E42" s="456">
        <f t="shared" si="20"/>
        <v>3.1818102523277156</v>
      </c>
      <c r="F42" s="456">
        <f t="shared" si="20"/>
        <v>3.1818102523277156</v>
      </c>
      <c r="G42" s="456">
        <f t="shared" si="20"/>
        <v>3.1818102523277156</v>
      </c>
      <c r="H42" s="456">
        <f t="shared" si="20"/>
        <v>3.6363545740888181</v>
      </c>
      <c r="I42" s="456">
        <f t="shared" si="20"/>
        <v>3.6363545740888181</v>
      </c>
      <c r="J42" s="456">
        <f t="shared" si="20"/>
        <v>3.6363545740888181</v>
      </c>
      <c r="K42" s="456">
        <f t="shared" si="20"/>
        <v>4.0908988958499197</v>
      </c>
      <c r="L42" s="456">
        <f t="shared" si="20"/>
        <v>4.0908988958499197</v>
      </c>
      <c r="M42" s="456">
        <f t="shared" si="20"/>
        <v>4.0908988958499197</v>
      </c>
      <c r="N42" s="456">
        <f t="shared" si="20"/>
        <v>4.5454432176110222</v>
      </c>
      <c r="O42" s="456">
        <f t="shared" si="20"/>
        <v>4.5454432176110222</v>
      </c>
      <c r="P42" s="456">
        <f t="shared" si="20"/>
        <v>4.5454432176110222</v>
      </c>
      <c r="Q42" s="456">
        <f t="shared" si="20"/>
        <v>4.5454432176110222</v>
      </c>
      <c r="R42" s="456">
        <f t="shared" si="20"/>
        <v>4.5454432176110222</v>
      </c>
      <c r="S42" s="456">
        <f t="shared" si="20"/>
        <v>4.5454432176110222</v>
      </c>
      <c r="T42" s="456">
        <f t="shared" si="20"/>
        <v>4.5454432176110222</v>
      </c>
      <c r="U42" s="456">
        <f t="shared" si="20"/>
        <v>4.5454432176110222</v>
      </c>
      <c r="V42" s="456">
        <f t="shared" si="20"/>
        <v>4.5454432176110222</v>
      </c>
      <c r="W42" s="456">
        <f t="shared" si="20"/>
        <v>4.5454432176110222</v>
      </c>
      <c r="X42" s="456">
        <f t="shared" si="20"/>
        <v>4.5454432176110222</v>
      </c>
      <c r="Y42" s="456">
        <f t="shared" si="20"/>
        <v>4.5454432176110222</v>
      </c>
      <c r="Z42" s="456">
        <f t="shared" si="20"/>
        <v>4.5454432176110222</v>
      </c>
      <c r="AA42" s="456">
        <f t="shared" si="20"/>
        <v>4.5454432176110222</v>
      </c>
      <c r="AB42" s="456">
        <f t="shared" si="20"/>
        <v>4.5454432176110222</v>
      </c>
      <c r="AC42" s="456">
        <f t="shared" si="20"/>
        <v>3.1818102523277156</v>
      </c>
      <c r="AD42" s="90">
        <v>27</v>
      </c>
      <c r="AE42" s="90"/>
      <c r="AF42" s="107"/>
      <c r="AG42" s="438">
        <v>6</v>
      </c>
      <c r="AH42" s="432">
        <f>IF(AH41-$AG42&lt;0,0,AH41-$AG42)</f>
        <v>0</v>
      </c>
      <c r="AI42" s="432">
        <f>IF(ISERROR((AH42/$AH$52)*$AH$22),0,(AH42/$AH$52)*$AH$22)</f>
        <v>0</v>
      </c>
      <c r="AJ42" s="87"/>
      <c r="AK42" s="87"/>
    </row>
    <row r="43" spans="1:37" ht="12" x14ac:dyDescent="0.2">
      <c r="A43" s="455" t="s">
        <v>171</v>
      </c>
      <c r="B43" s="456">
        <f t="shared" ref="B43:AC43" si="21">IF($B176&gt;=0.9, B$36,B$36*$B176)</f>
        <v>3.2285043785261855</v>
      </c>
      <c r="C43" s="456">
        <f t="shared" si="21"/>
        <v>3.2285043785261855</v>
      </c>
      <c r="D43" s="456">
        <f t="shared" si="21"/>
        <v>3.2285043785261855</v>
      </c>
      <c r="E43" s="456">
        <f t="shared" si="21"/>
        <v>3.2285043785261855</v>
      </c>
      <c r="F43" s="456">
        <f t="shared" si="21"/>
        <v>3.2285043785261855</v>
      </c>
      <c r="G43" s="456">
        <f t="shared" si="21"/>
        <v>3.2285043785261855</v>
      </c>
      <c r="H43" s="456">
        <f t="shared" si="21"/>
        <v>3.6897192897442124</v>
      </c>
      <c r="I43" s="456">
        <f t="shared" si="21"/>
        <v>3.6897192897442124</v>
      </c>
      <c r="J43" s="456">
        <f t="shared" si="21"/>
        <v>3.6897192897442124</v>
      </c>
      <c r="K43" s="456">
        <f t="shared" si="21"/>
        <v>4.1509342009622383</v>
      </c>
      <c r="L43" s="456">
        <f t="shared" si="21"/>
        <v>4.1509342009622383</v>
      </c>
      <c r="M43" s="456">
        <f t="shared" si="21"/>
        <v>4.1509342009622383</v>
      </c>
      <c r="N43" s="456">
        <f t="shared" si="21"/>
        <v>4.6121491121802647</v>
      </c>
      <c r="O43" s="456">
        <f t="shared" si="21"/>
        <v>4.6121491121802647</v>
      </c>
      <c r="P43" s="456">
        <f t="shared" si="21"/>
        <v>4.6121491121802647</v>
      </c>
      <c r="Q43" s="456">
        <f t="shared" si="21"/>
        <v>4.6121491121802647</v>
      </c>
      <c r="R43" s="456">
        <f t="shared" si="21"/>
        <v>4.6121491121802647</v>
      </c>
      <c r="S43" s="456">
        <f t="shared" si="21"/>
        <v>4.6121491121802647</v>
      </c>
      <c r="T43" s="456">
        <f t="shared" si="21"/>
        <v>4.6121491121802647</v>
      </c>
      <c r="U43" s="456">
        <f t="shared" si="21"/>
        <v>4.6121491121802647</v>
      </c>
      <c r="V43" s="456">
        <f t="shared" si="21"/>
        <v>4.6121491121802647</v>
      </c>
      <c r="W43" s="456">
        <f t="shared" si="21"/>
        <v>4.6121491121802647</v>
      </c>
      <c r="X43" s="456">
        <f t="shared" si="21"/>
        <v>4.6121491121802647</v>
      </c>
      <c r="Y43" s="456">
        <f t="shared" si="21"/>
        <v>4.6121491121802647</v>
      </c>
      <c r="Z43" s="456">
        <f t="shared" si="21"/>
        <v>4.6121491121802647</v>
      </c>
      <c r="AA43" s="456">
        <f t="shared" si="21"/>
        <v>4.6121491121802647</v>
      </c>
      <c r="AB43" s="456">
        <f t="shared" si="21"/>
        <v>4.6121491121802647</v>
      </c>
      <c r="AC43" s="456">
        <f t="shared" si="21"/>
        <v>3.2285043785261855</v>
      </c>
      <c r="AD43" s="92">
        <v>28</v>
      </c>
      <c r="AE43" s="92"/>
      <c r="AF43" s="107"/>
      <c r="AG43" s="436" t="s">
        <v>172</v>
      </c>
      <c r="AH43" s="437">
        <f>HLOOKUP($AH$20,$B$14:$AB$67,AD59,FALSE)</f>
        <v>0</v>
      </c>
      <c r="AI43" s="437"/>
      <c r="AJ43" s="87"/>
      <c r="AK43" s="34"/>
    </row>
    <row r="44" spans="1:37" ht="12" x14ac:dyDescent="0.2">
      <c r="A44" s="455" t="s">
        <v>173</v>
      </c>
      <c r="B44" s="456">
        <f t="shared" ref="B44:AC44" si="22">IF(B$13="Deploy",B$36,IF($B177&gt;=0.9, B$36,B$36*$B177))</f>
        <v>0.69149562147381538</v>
      </c>
      <c r="C44" s="456">
        <f t="shared" si="22"/>
        <v>0.69149562147381538</v>
      </c>
      <c r="D44" s="456">
        <f t="shared" si="22"/>
        <v>0.69149562147381538</v>
      </c>
      <c r="E44" s="456">
        <f t="shared" si="22"/>
        <v>0.69149562147381538</v>
      </c>
      <c r="F44" s="456">
        <f t="shared" si="22"/>
        <v>0.69149562147381538</v>
      </c>
      <c r="G44" s="456">
        <f t="shared" si="22"/>
        <v>0.69149562147381538</v>
      </c>
      <c r="H44" s="456">
        <f t="shared" si="22"/>
        <v>0.79028071025578916</v>
      </c>
      <c r="I44" s="456">
        <f t="shared" si="22"/>
        <v>0.79028071025578916</v>
      </c>
      <c r="J44" s="456">
        <f t="shared" si="22"/>
        <v>0.79028071025578916</v>
      </c>
      <c r="K44" s="456">
        <f t="shared" si="22"/>
        <v>0.88906579903776273</v>
      </c>
      <c r="L44" s="456">
        <f t="shared" si="22"/>
        <v>0.88906579903776273</v>
      </c>
      <c r="M44" s="456">
        <f t="shared" si="22"/>
        <v>0.88906579903776273</v>
      </c>
      <c r="N44" s="456">
        <f t="shared" si="22"/>
        <v>0.98785088781973629</v>
      </c>
      <c r="O44" s="456">
        <f t="shared" si="22"/>
        <v>0.98785088781973629</v>
      </c>
      <c r="P44" s="456">
        <f t="shared" si="22"/>
        <v>0.98785088781973629</v>
      </c>
      <c r="Q44" s="456">
        <f t="shared" si="22"/>
        <v>0.98785088781973629</v>
      </c>
      <c r="R44" s="456">
        <f t="shared" si="22"/>
        <v>5.6</v>
      </c>
      <c r="S44" s="456">
        <f t="shared" si="22"/>
        <v>5.6</v>
      </c>
      <c r="T44" s="456">
        <f t="shared" si="22"/>
        <v>5.6</v>
      </c>
      <c r="U44" s="456">
        <f t="shared" si="22"/>
        <v>5.6</v>
      </c>
      <c r="V44" s="456">
        <f t="shared" si="22"/>
        <v>5.6</v>
      </c>
      <c r="W44" s="456">
        <f t="shared" si="22"/>
        <v>5.6</v>
      </c>
      <c r="X44" s="456">
        <f t="shared" si="22"/>
        <v>0.98785088781973629</v>
      </c>
      <c r="Y44" s="456">
        <f t="shared" si="22"/>
        <v>0.98785088781973629</v>
      </c>
      <c r="Z44" s="456">
        <f t="shared" si="22"/>
        <v>0.98785088781973629</v>
      </c>
      <c r="AA44" s="456">
        <f t="shared" si="22"/>
        <v>0.98785088781973629</v>
      </c>
      <c r="AB44" s="456">
        <f t="shared" si="22"/>
        <v>0.98785088781973629</v>
      </c>
      <c r="AC44" s="456">
        <f t="shared" si="22"/>
        <v>0.69149562147381538</v>
      </c>
      <c r="AD44" s="90">
        <v>29</v>
      </c>
      <c r="AE44" s="90"/>
      <c r="AF44" s="107"/>
      <c r="AG44" s="438">
        <v>6</v>
      </c>
      <c r="AH44" s="432">
        <f>IF(AH43-$AG44&lt;0,0,AH43-$AG44)</f>
        <v>0</v>
      </c>
      <c r="AI44" s="432">
        <f>IF(ISERROR((AH44/$AH$52)*$AH$22),0,(AH44/$AH$52)*$AH$22)</f>
        <v>0</v>
      </c>
      <c r="AJ44" s="87"/>
      <c r="AK44" s="34"/>
    </row>
    <row r="45" spans="1:37" s="11" customFormat="1" ht="12" x14ac:dyDescent="0.2">
      <c r="A45" s="455" t="s">
        <v>174</v>
      </c>
      <c r="B45" s="456">
        <f t="shared" ref="B45:AC45" si="23">IF($B178&gt;=0.9, B$36,B$36*$B178)</f>
        <v>3.2285043785261855</v>
      </c>
      <c r="C45" s="456">
        <f t="shared" si="23"/>
        <v>3.2285043785261855</v>
      </c>
      <c r="D45" s="456">
        <f t="shared" si="23"/>
        <v>3.2285043785261855</v>
      </c>
      <c r="E45" s="456">
        <f t="shared" si="23"/>
        <v>3.2285043785261855</v>
      </c>
      <c r="F45" s="456">
        <f t="shared" si="23"/>
        <v>3.2285043785261855</v>
      </c>
      <c r="G45" s="456">
        <f t="shared" si="23"/>
        <v>3.2285043785261855</v>
      </c>
      <c r="H45" s="456">
        <f t="shared" si="23"/>
        <v>3.6897192897442124</v>
      </c>
      <c r="I45" s="456">
        <f t="shared" si="23"/>
        <v>3.6897192897442124</v>
      </c>
      <c r="J45" s="456">
        <f t="shared" si="23"/>
        <v>3.6897192897442124</v>
      </c>
      <c r="K45" s="456">
        <f t="shared" si="23"/>
        <v>4.1509342009622383</v>
      </c>
      <c r="L45" s="456">
        <f t="shared" si="23"/>
        <v>4.1509342009622383</v>
      </c>
      <c r="M45" s="456">
        <f t="shared" si="23"/>
        <v>4.1509342009622383</v>
      </c>
      <c r="N45" s="456">
        <f t="shared" si="23"/>
        <v>4.6121491121802647</v>
      </c>
      <c r="O45" s="456">
        <f t="shared" si="23"/>
        <v>4.6121491121802647</v>
      </c>
      <c r="P45" s="456">
        <f t="shared" si="23"/>
        <v>4.6121491121802647</v>
      </c>
      <c r="Q45" s="456">
        <f t="shared" si="23"/>
        <v>4.6121491121802647</v>
      </c>
      <c r="R45" s="456">
        <f t="shared" si="23"/>
        <v>4.6121491121802647</v>
      </c>
      <c r="S45" s="456">
        <f t="shared" si="23"/>
        <v>4.6121491121802647</v>
      </c>
      <c r="T45" s="456">
        <f t="shared" si="23"/>
        <v>4.6121491121802647</v>
      </c>
      <c r="U45" s="456">
        <f t="shared" si="23"/>
        <v>4.6121491121802647</v>
      </c>
      <c r="V45" s="456">
        <f t="shared" si="23"/>
        <v>4.6121491121802647</v>
      </c>
      <c r="W45" s="456">
        <f t="shared" si="23"/>
        <v>4.6121491121802647</v>
      </c>
      <c r="X45" s="456">
        <f t="shared" si="23"/>
        <v>4.6121491121802647</v>
      </c>
      <c r="Y45" s="456">
        <f t="shared" si="23"/>
        <v>4.6121491121802647</v>
      </c>
      <c r="Z45" s="456">
        <f t="shared" si="23"/>
        <v>4.6121491121802647</v>
      </c>
      <c r="AA45" s="456">
        <f t="shared" si="23"/>
        <v>4.6121491121802647</v>
      </c>
      <c r="AB45" s="456">
        <f t="shared" si="23"/>
        <v>4.6121491121802647</v>
      </c>
      <c r="AC45" s="456">
        <f t="shared" si="23"/>
        <v>3.2285043785261855</v>
      </c>
      <c r="AD45" s="92">
        <v>30</v>
      </c>
      <c r="AE45" s="92"/>
      <c r="AF45" s="107"/>
      <c r="AG45" s="436" t="s">
        <v>175</v>
      </c>
      <c r="AH45" s="437">
        <f>HLOOKUP($AH$20,$B$14:$AB$67,AD61,FALSE)</f>
        <v>0</v>
      </c>
      <c r="AI45" s="437"/>
      <c r="AJ45" s="87"/>
      <c r="AK45" s="34"/>
    </row>
    <row r="46" spans="1:37" s="11" customFormat="1" ht="12" x14ac:dyDescent="0.2">
      <c r="A46" s="457" t="s">
        <v>176</v>
      </c>
      <c r="B46" s="456">
        <f t="shared" ref="B46:AC46" si="24">IF(B$13="Deploy",B$36,IF($B179&gt;=0.9, B$36,B$36*$B179))</f>
        <v>0.69149562147381538</v>
      </c>
      <c r="C46" s="456">
        <f t="shared" si="24"/>
        <v>0.69149562147381538</v>
      </c>
      <c r="D46" s="456">
        <f t="shared" si="24"/>
        <v>0.69149562147381538</v>
      </c>
      <c r="E46" s="456">
        <f t="shared" si="24"/>
        <v>0.69149562147381538</v>
      </c>
      <c r="F46" s="456">
        <f t="shared" si="24"/>
        <v>0.69149562147381538</v>
      </c>
      <c r="G46" s="456">
        <f t="shared" si="24"/>
        <v>0.69149562147381538</v>
      </c>
      <c r="H46" s="456">
        <f t="shared" si="24"/>
        <v>0.79028071025578916</v>
      </c>
      <c r="I46" s="456">
        <f t="shared" si="24"/>
        <v>0.79028071025578916</v>
      </c>
      <c r="J46" s="456">
        <f t="shared" si="24"/>
        <v>0.79028071025578916</v>
      </c>
      <c r="K46" s="456">
        <f t="shared" si="24"/>
        <v>0.88906579903776273</v>
      </c>
      <c r="L46" s="456">
        <f t="shared" si="24"/>
        <v>0.88906579903776273</v>
      </c>
      <c r="M46" s="456">
        <f t="shared" si="24"/>
        <v>0.88906579903776273</v>
      </c>
      <c r="N46" s="456">
        <f t="shared" si="24"/>
        <v>0.98785088781973629</v>
      </c>
      <c r="O46" s="456">
        <f t="shared" si="24"/>
        <v>0.98785088781973629</v>
      </c>
      <c r="P46" s="456">
        <f t="shared" si="24"/>
        <v>0.98785088781973629</v>
      </c>
      <c r="Q46" s="456">
        <f t="shared" si="24"/>
        <v>0.98785088781973629</v>
      </c>
      <c r="R46" s="456">
        <f t="shared" si="24"/>
        <v>5.6</v>
      </c>
      <c r="S46" s="456">
        <f t="shared" si="24"/>
        <v>5.6</v>
      </c>
      <c r="T46" s="456">
        <f t="shared" si="24"/>
        <v>5.6</v>
      </c>
      <c r="U46" s="456">
        <f t="shared" si="24"/>
        <v>5.6</v>
      </c>
      <c r="V46" s="456">
        <f t="shared" si="24"/>
        <v>5.6</v>
      </c>
      <c r="W46" s="456">
        <f t="shared" si="24"/>
        <v>5.6</v>
      </c>
      <c r="X46" s="456">
        <f t="shared" si="24"/>
        <v>0.98785088781973629</v>
      </c>
      <c r="Y46" s="456">
        <f t="shared" si="24"/>
        <v>0.98785088781973629</v>
      </c>
      <c r="Z46" s="456">
        <f t="shared" si="24"/>
        <v>0.98785088781973629</v>
      </c>
      <c r="AA46" s="456">
        <f t="shared" si="24"/>
        <v>0.98785088781973629</v>
      </c>
      <c r="AB46" s="456">
        <f t="shared" si="24"/>
        <v>0.98785088781973629</v>
      </c>
      <c r="AC46" s="456">
        <f t="shared" si="24"/>
        <v>0.69149562147381538</v>
      </c>
      <c r="AD46" s="90">
        <v>31</v>
      </c>
      <c r="AE46" s="90"/>
      <c r="AF46" s="107"/>
      <c r="AG46" s="438">
        <v>7</v>
      </c>
      <c r="AH46" s="432">
        <f>IF(AH45-$AG46&lt;0,0,AH45-$AG46)</f>
        <v>0</v>
      </c>
      <c r="AI46" s="432">
        <f>IF(ISERROR((AH46/$AH$52)*$AH$22),0,(AH46/$AH$52)*$AH$22)</f>
        <v>0</v>
      </c>
      <c r="AJ46" s="34"/>
      <c r="AK46" s="34"/>
    </row>
    <row r="47" spans="1:37" s="11" customFormat="1" x14ac:dyDescent="0.2">
      <c r="A47" s="458" t="s">
        <v>177</v>
      </c>
      <c r="B47" s="456">
        <f t="shared" ref="B47:AC47" si="25">IF(B$13="Deploy",B$36,IF($B180&gt;=0.9, B$36,B$36*$B180))</f>
        <v>3.92</v>
      </c>
      <c r="C47" s="456">
        <f t="shared" si="25"/>
        <v>3.92</v>
      </c>
      <c r="D47" s="456">
        <f t="shared" si="25"/>
        <v>3.92</v>
      </c>
      <c r="E47" s="456">
        <f t="shared" si="25"/>
        <v>3.92</v>
      </c>
      <c r="F47" s="456">
        <f t="shared" si="25"/>
        <v>3.92</v>
      </c>
      <c r="G47" s="456">
        <f t="shared" si="25"/>
        <v>3.92</v>
      </c>
      <c r="H47" s="456">
        <f t="shared" si="25"/>
        <v>4.4800000000000004</v>
      </c>
      <c r="I47" s="456">
        <f t="shared" si="25"/>
        <v>4.4800000000000004</v>
      </c>
      <c r="J47" s="456">
        <f t="shared" si="25"/>
        <v>4.4800000000000004</v>
      </c>
      <c r="K47" s="456">
        <f t="shared" si="25"/>
        <v>5.04</v>
      </c>
      <c r="L47" s="456">
        <f t="shared" si="25"/>
        <v>5.04</v>
      </c>
      <c r="M47" s="456">
        <f t="shared" si="25"/>
        <v>5.04</v>
      </c>
      <c r="N47" s="456">
        <f t="shared" si="25"/>
        <v>5.6</v>
      </c>
      <c r="O47" s="456">
        <f t="shared" si="25"/>
        <v>5.6</v>
      </c>
      <c r="P47" s="456">
        <f t="shared" si="25"/>
        <v>5.6</v>
      </c>
      <c r="Q47" s="456">
        <f t="shared" si="25"/>
        <v>5.6</v>
      </c>
      <c r="R47" s="456">
        <f t="shared" si="25"/>
        <v>5.6</v>
      </c>
      <c r="S47" s="456">
        <f t="shared" si="25"/>
        <v>5.6</v>
      </c>
      <c r="T47" s="456">
        <f t="shared" si="25"/>
        <v>5.6</v>
      </c>
      <c r="U47" s="456">
        <f t="shared" si="25"/>
        <v>5.6</v>
      </c>
      <c r="V47" s="456">
        <f t="shared" si="25"/>
        <v>5.6</v>
      </c>
      <c r="W47" s="456">
        <f t="shared" si="25"/>
        <v>5.6</v>
      </c>
      <c r="X47" s="456">
        <f t="shared" si="25"/>
        <v>5.6</v>
      </c>
      <c r="Y47" s="456">
        <f t="shared" si="25"/>
        <v>5.6</v>
      </c>
      <c r="Z47" s="456">
        <f t="shared" si="25"/>
        <v>5.6</v>
      </c>
      <c r="AA47" s="456">
        <f t="shared" si="25"/>
        <v>5.6</v>
      </c>
      <c r="AB47" s="456">
        <f t="shared" si="25"/>
        <v>5.6</v>
      </c>
      <c r="AC47" s="456">
        <f t="shared" si="25"/>
        <v>3.92</v>
      </c>
      <c r="AD47" s="92">
        <v>32</v>
      </c>
      <c r="AE47" s="92"/>
      <c r="AF47" s="107"/>
      <c r="AG47" s="436" t="s">
        <v>178</v>
      </c>
      <c r="AH47" s="437">
        <f>HLOOKUP($AH$20,$B$14:$AB$67,AD63,FALSE)</f>
        <v>4</v>
      </c>
      <c r="AI47" s="437"/>
      <c r="AJ47" s="87"/>
      <c r="AK47" s="34"/>
    </row>
    <row r="48" spans="1:37" s="11" customFormat="1" ht="12" x14ac:dyDescent="0.2">
      <c r="A48" s="459" t="s">
        <v>179</v>
      </c>
      <c r="B48" s="460"/>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461"/>
      <c r="AD48" s="90">
        <v>33</v>
      </c>
      <c r="AE48" s="90"/>
      <c r="AF48" s="107"/>
      <c r="AG48" s="438">
        <v>4</v>
      </c>
      <c r="AH48" s="432">
        <f>IF(AH47-$AG48&lt;0,0,AH47-$AG48)</f>
        <v>0</v>
      </c>
      <c r="AI48" s="432">
        <f>IF(ISERROR((AH48/$AH$52)*$AH$22),0,(AH48/$AH$52)*$AH$22)</f>
        <v>0</v>
      </c>
      <c r="AJ48" s="87"/>
      <c r="AK48" s="34"/>
    </row>
    <row r="49" spans="1:37" s="11" customFormat="1" ht="12" x14ac:dyDescent="0.2">
      <c r="A49" s="471" t="s">
        <v>180</v>
      </c>
      <c r="B49" s="463">
        <f>ROUNDUP(2*B$35,0)-1</f>
        <v>9</v>
      </c>
      <c r="C49" s="463">
        <f t="shared" ref="C49:G49" si="26">ROUNDUP(2*C$35,0)-1</f>
        <v>9</v>
      </c>
      <c r="D49" s="463">
        <f t="shared" si="26"/>
        <v>9</v>
      </c>
      <c r="E49" s="463">
        <f t="shared" si="26"/>
        <v>9</v>
      </c>
      <c r="F49" s="463">
        <f t="shared" si="26"/>
        <v>9</v>
      </c>
      <c r="G49" s="463">
        <f t="shared" si="26"/>
        <v>9</v>
      </c>
      <c r="H49" s="463">
        <f t="shared" ref="H49:I49" si="27">ROUNDUP(3*H$35,0)-2</f>
        <v>15</v>
      </c>
      <c r="I49" s="463">
        <f t="shared" si="27"/>
        <v>15</v>
      </c>
      <c r="J49" s="463">
        <f>ROUNDUP(3*J$35,0)-2</f>
        <v>15</v>
      </c>
      <c r="K49" s="463">
        <f>ROUNDUP(3*K$35,0)+2</f>
        <v>21</v>
      </c>
      <c r="L49" s="463">
        <f>ROUNDUP(3*L$35,0)+2</f>
        <v>21</v>
      </c>
      <c r="M49" s="463">
        <f>ROUNDUP(3*M$35,0)+2</f>
        <v>21</v>
      </c>
      <c r="N49" s="463">
        <f>ROUNDUP(3*N$35,0)</f>
        <v>21</v>
      </c>
      <c r="O49" s="463">
        <f t="shared" ref="O49:P49" si="28">ROUNDUP(3*O$35,0)</f>
        <v>21</v>
      </c>
      <c r="P49" s="463">
        <f t="shared" si="28"/>
        <v>21</v>
      </c>
      <c r="Q49" s="463">
        <f>ROUNDUP(3*Q$35,0)+3</f>
        <v>24</v>
      </c>
      <c r="R49" s="463">
        <f>ROUNDUP(3*R$35,0)+3</f>
        <v>24</v>
      </c>
      <c r="S49" s="463">
        <f t="shared" ref="S49:X49" si="29">ROUNDUP(3*S$35,0)+3</f>
        <v>24</v>
      </c>
      <c r="T49" s="463">
        <f t="shared" si="29"/>
        <v>24</v>
      </c>
      <c r="U49" s="463">
        <f t="shared" si="29"/>
        <v>24</v>
      </c>
      <c r="V49" s="463">
        <f t="shared" si="29"/>
        <v>24</v>
      </c>
      <c r="W49" s="463">
        <f t="shared" si="29"/>
        <v>24</v>
      </c>
      <c r="X49" s="463">
        <f t="shared" si="29"/>
        <v>24</v>
      </c>
      <c r="Y49" s="463">
        <f t="shared" ref="Y49:AB49" si="30">ROUNDUP(3*Y$35,0)</f>
        <v>21</v>
      </c>
      <c r="Z49" s="463">
        <f t="shared" si="30"/>
        <v>21</v>
      </c>
      <c r="AA49" s="463">
        <f t="shared" si="30"/>
        <v>21</v>
      </c>
      <c r="AB49" s="334">
        <f t="shared" si="30"/>
        <v>21</v>
      </c>
      <c r="AC49" s="464">
        <v>9</v>
      </c>
      <c r="AD49" s="92">
        <v>34</v>
      </c>
      <c r="AE49" s="92"/>
      <c r="AF49" s="107"/>
      <c r="AG49" s="436" t="s">
        <v>181</v>
      </c>
      <c r="AH49" s="437">
        <f>HLOOKUP($AH$20,$B$14:$AB$67,AD65,FALSE)</f>
        <v>4</v>
      </c>
      <c r="AI49" s="437"/>
      <c r="AJ49" s="87"/>
      <c r="AK49" s="87"/>
    </row>
    <row r="50" spans="1:37" s="11" customFormat="1" thickBot="1" x14ac:dyDescent="0.25">
      <c r="A50" s="471" t="s">
        <v>148</v>
      </c>
      <c r="B50" s="463">
        <f>ROUNDUP(2*B$35,0)-2</f>
        <v>8</v>
      </c>
      <c r="C50" s="463">
        <f t="shared" ref="C50:G50" si="31">ROUNDUP(2*C$35,0)-2</f>
        <v>8</v>
      </c>
      <c r="D50" s="463">
        <f t="shared" si="31"/>
        <v>8</v>
      </c>
      <c r="E50" s="463">
        <f t="shared" si="31"/>
        <v>8</v>
      </c>
      <c r="F50" s="463">
        <f t="shared" si="31"/>
        <v>8</v>
      </c>
      <c r="G50" s="463">
        <f t="shared" si="31"/>
        <v>8</v>
      </c>
      <c r="H50" s="463">
        <f t="shared" ref="H50:I50" si="32">ROUNDUP(3*H$35,0)-3</f>
        <v>14</v>
      </c>
      <c r="I50" s="463">
        <f t="shared" si="32"/>
        <v>14</v>
      </c>
      <c r="J50" s="463">
        <f>ROUNDUP(3*J$35,0)-3</f>
        <v>14</v>
      </c>
      <c r="K50" s="463">
        <f t="shared" ref="K50:M50" si="33">ROUNDUP(3*K$35,0)</f>
        <v>19</v>
      </c>
      <c r="L50" s="463">
        <f t="shared" si="33"/>
        <v>19</v>
      </c>
      <c r="M50" s="463">
        <f t="shared" si="33"/>
        <v>19</v>
      </c>
      <c r="N50" s="463">
        <f>ROUNDUP(3*N$35,0)-2</f>
        <v>19</v>
      </c>
      <c r="O50" s="463">
        <f t="shared" ref="O50:P50" si="34">ROUNDUP(3*O$35,0)-2</f>
        <v>19</v>
      </c>
      <c r="P50" s="463">
        <f t="shared" si="34"/>
        <v>19</v>
      </c>
      <c r="Q50" s="463">
        <f>ROUNDUP(3*Q$35,0)-1</f>
        <v>20</v>
      </c>
      <c r="R50" s="463">
        <f t="shared" ref="R50:X50" si="35">ROUNDUP(3*R$35,0)-1</f>
        <v>20</v>
      </c>
      <c r="S50" s="463">
        <f t="shared" si="35"/>
        <v>20</v>
      </c>
      <c r="T50" s="463">
        <f t="shared" si="35"/>
        <v>20</v>
      </c>
      <c r="U50" s="463">
        <f t="shared" si="35"/>
        <v>20</v>
      </c>
      <c r="V50" s="463">
        <f t="shared" si="35"/>
        <v>20</v>
      </c>
      <c r="W50" s="463">
        <f t="shared" si="35"/>
        <v>20</v>
      </c>
      <c r="X50" s="463">
        <f t="shared" si="35"/>
        <v>20</v>
      </c>
      <c r="Y50" s="463">
        <f t="shared" ref="Y50:AB50" si="36">ROUNDUP(3*Y$35,0)-2</f>
        <v>19</v>
      </c>
      <c r="Z50" s="463">
        <f t="shared" si="36"/>
        <v>19</v>
      </c>
      <c r="AA50" s="463">
        <f t="shared" si="36"/>
        <v>19</v>
      </c>
      <c r="AB50" s="334">
        <f t="shared" si="36"/>
        <v>19</v>
      </c>
      <c r="AC50" s="464">
        <v>8</v>
      </c>
      <c r="AD50" s="90">
        <v>35</v>
      </c>
      <c r="AE50" s="90"/>
      <c r="AF50" s="107"/>
      <c r="AG50" s="441">
        <v>4</v>
      </c>
      <c r="AH50" s="442">
        <f>IF(AH49-$AG50&lt;0,0,AH49-$AG50)</f>
        <v>0</v>
      </c>
      <c r="AI50" s="442">
        <f>IF(ISERROR((AH50/$AH$52)*$AH$22),0,(AH50/$AH$52)*$AH$22)</f>
        <v>0</v>
      </c>
      <c r="AJ50" s="87"/>
      <c r="AK50" s="87"/>
    </row>
    <row r="51" spans="1:37" s="11" customFormat="1" ht="12" x14ac:dyDescent="0.2">
      <c r="A51" s="465" t="s">
        <v>182</v>
      </c>
      <c r="B51" s="466">
        <f>B49</f>
        <v>9</v>
      </c>
      <c r="C51" s="466">
        <f t="shared" ref="C51:G51" si="37">C49</f>
        <v>9</v>
      </c>
      <c r="D51" s="466">
        <f t="shared" si="37"/>
        <v>9</v>
      </c>
      <c r="E51" s="466">
        <f t="shared" si="37"/>
        <v>9</v>
      </c>
      <c r="F51" s="466">
        <f t="shared" si="37"/>
        <v>9</v>
      </c>
      <c r="G51" s="466">
        <f t="shared" si="37"/>
        <v>9</v>
      </c>
      <c r="H51" s="466">
        <f>H49</f>
        <v>15</v>
      </c>
      <c r="I51" s="466">
        <f t="shared" ref="I51:J51" si="38">I49</f>
        <v>15</v>
      </c>
      <c r="J51" s="466">
        <f t="shared" si="38"/>
        <v>15</v>
      </c>
      <c r="K51" s="466">
        <f t="shared" ref="K51:AB51" si="39">K49+2</f>
        <v>23</v>
      </c>
      <c r="L51" s="466">
        <f t="shared" si="39"/>
        <v>23</v>
      </c>
      <c r="M51" s="466">
        <f t="shared" si="39"/>
        <v>23</v>
      </c>
      <c r="N51" s="466">
        <f t="shared" si="39"/>
        <v>23</v>
      </c>
      <c r="O51" s="466">
        <f t="shared" si="39"/>
        <v>23</v>
      </c>
      <c r="P51" s="466">
        <f t="shared" si="39"/>
        <v>23</v>
      </c>
      <c r="Q51" s="466">
        <f t="shared" si="39"/>
        <v>26</v>
      </c>
      <c r="R51" s="466">
        <f t="shared" si="39"/>
        <v>26</v>
      </c>
      <c r="S51" s="466">
        <f t="shared" si="39"/>
        <v>26</v>
      </c>
      <c r="T51" s="466">
        <f t="shared" si="39"/>
        <v>26</v>
      </c>
      <c r="U51" s="466">
        <f t="shared" si="39"/>
        <v>26</v>
      </c>
      <c r="V51" s="466">
        <f t="shared" si="39"/>
        <v>26</v>
      </c>
      <c r="W51" s="466">
        <f t="shared" si="39"/>
        <v>26</v>
      </c>
      <c r="X51" s="466">
        <f t="shared" si="39"/>
        <v>26</v>
      </c>
      <c r="Y51" s="466">
        <f t="shared" si="39"/>
        <v>23</v>
      </c>
      <c r="Z51" s="466">
        <f t="shared" si="39"/>
        <v>23</v>
      </c>
      <c r="AA51" s="466">
        <f t="shared" si="39"/>
        <v>23</v>
      </c>
      <c r="AB51" s="67">
        <f t="shared" si="39"/>
        <v>23</v>
      </c>
      <c r="AC51" s="467">
        <v>9</v>
      </c>
      <c r="AD51" s="92">
        <v>36</v>
      </c>
      <c r="AE51" s="92"/>
      <c r="AF51" s="107"/>
      <c r="AG51" s="108" t="s">
        <v>155</v>
      </c>
      <c r="AH51" s="108" t="s">
        <v>156</v>
      </c>
      <c r="AI51" s="108" t="s">
        <v>183</v>
      </c>
      <c r="AJ51" s="87"/>
      <c r="AK51" s="87"/>
    </row>
    <row r="52" spans="1:37" s="11" customFormat="1" ht="12" x14ac:dyDescent="0.2">
      <c r="A52" s="465" t="s">
        <v>152</v>
      </c>
      <c r="B52" s="66">
        <f t="shared" ref="B52:AC52" si="40">B50</f>
        <v>8</v>
      </c>
      <c r="C52" s="66">
        <f t="shared" si="40"/>
        <v>8</v>
      </c>
      <c r="D52" s="66">
        <f t="shared" si="40"/>
        <v>8</v>
      </c>
      <c r="E52" s="66">
        <f t="shared" si="40"/>
        <v>8</v>
      </c>
      <c r="F52" s="66">
        <f t="shared" si="40"/>
        <v>8</v>
      </c>
      <c r="G52" s="66">
        <f t="shared" si="40"/>
        <v>8</v>
      </c>
      <c r="H52" s="66">
        <f t="shared" si="40"/>
        <v>14</v>
      </c>
      <c r="I52" s="66">
        <f t="shared" si="40"/>
        <v>14</v>
      </c>
      <c r="J52" s="66">
        <f t="shared" si="40"/>
        <v>14</v>
      </c>
      <c r="K52" s="66">
        <f t="shared" si="40"/>
        <v>19</v>
      </c>
      <c r="L52" s="66">
        <f t="shared" si="40"/>
        <v>19</v>
      </c>
      <c r="M52" s="66">
        <f t="shared" si="40"/>
        <v>19</v>
      </c>
      <c r="N52" s="66">
        <f t="shared" si="40"/>
        <v>19</v>
      </c>
      <c r="O52" s="66">
        <f t="shared" si="40"/>
        <v>19</v>
      </c>
      <c r="P52" s="66">
        <f t="shared" si="40"/>
        <v>19</v>
      </c>
      <c r="Q52" s="66">
        <f t="shared" si="40"/>
        <v>20</v>
      </c>
      <c r="R52" s="66">
        <f t="shared" si="40"/>
        <v>20</v>
      </c>
      <c r="S52" s="66">
        <f t="shared" si="40"/>
        <v>20</v>
      </c>
      <c r="T52" s="66">
        <f t="shared" si="40"/>
        <v>20</v>
      </c>
      <c r="U52" s="66">
        <f t="shared" si="40"/>
        <v>20</v>
      </c>
      <c r="V52" s="66">
        <f t="shared" si="40"/>
        <v>20</v>
      </c>
      <c r="W52" s="66">
        <f t="shared" si="40"/>
        <v>20</v>
      </c>
      <c r="X52" s="66">
        <f t="shared" si="40"/>
        <v>20</v>
      </c>
      <c r="Y52" s="66">
        <f t="shared" si="40"/>
        <v>19</v>
      </c>
      <c r="Z52" s="66">
        <f t="shared" si="40"/>
        <v>19</v>
      </c>
      <c r="AA52" s="66">
        <f t="shared" si="40"/>
        <v>19</v>
      </c>
      <c r="AB52" s="335">
        <f t="shared" si="40"/>
        <v>19</v>
      </c>
      <c r="AC52" s="468">
        <f t="shared" si="40"/>
        <v>8</v>
      </c>
      <c r="AD52" s="90">
        <v>37</v>
      </c>
      <c r="AE52" s="90"/>
      <c r="AF52" s="43" t="s">
        <v>159</v>
      </c>
      <c r="AG52" s="447">
        <f>SUM(AG40,AG42,AG44,AG46,AG48,AG50)</f>
        <v>35</v>
      </c>
      <c r="AH52" s="447">
        <f>SUM(AH39,AH41,AH43,AH45,AH47,AH49)</f>
        <v>12</v>
      </c>
      <c r="AI52" s="447">
        <f>SUM(AI39:AI50)</f>
        <v>0</v>
      </c>
      <c r="AJ52" s="87"/>
      <c r="AK52" s="87"/>
    </row>
    <row r="53" spans="1:37" s="11" customFormat="1" ht="12" x14ac:dyDescent="0.2">
      <c r="A53" s="469" t="s">
        <v>184</v>
      </c>
      <c r="B53" s="470"/>
      <c r="C53" s="64"/>
      <c r="D53" s="64"/>
      <c r="E53" s="64"/>
      <c r="F53" s="64"/>
      <c r="G53" s="64"/>
      <c r="H53" s="64"/>
      <c r="I53" s="64"/>
      <c r="J53" s="64"/>
      <c r="K53" s="67"/>
      <c r="L53" s="67"/>
      <c r="M53" s="67"/>
      <c r="N53" s="67"/>
      <c r="O53" s="67"/>
      <c r="P53" s="67"/>
      <c r="Q53" s="64"/>
      <c r="R53" s="67"/>
      <c r="S53" s="67"/>
      <c r="T53" s="67"/>
      <c r="U53" s="67"/>
      <c r="V53" s="67"/>
      <c r="W53" s="67"/>
      <c r="X53" s="68"/>
      <c r="Y53" s="68"/>
      <c r="Z53" s="67"/>
      <c r="AA53" s="67"/>
      <c r="AB53" s="67"/>
      <c r="AC53" s="467"/>
      <c r="AD53" s="92">
        <v>38</v>
      </c>
      <c r="AE53" s="92"/>
      <c r="AF53" s="109"/>
      <c r="AG53" s="87"/>
      <c r="AH53" s="87"/>
      <c r="AI53" s="87"/>
      <c r="AJ53" s="87"/>
      <c r="AK53" s="87"/>
    </row>
    <row r="54" spans="1:37" s="11" customFormat="1" ht="12" x14ac:dyDescent="0.2">
      <c r="A54" s="471" t="s">
        <v>185</v>
      </c>
      <c r="B54" s="472">
        <f t="shared" ref="B54:G54" si="41">ROUND($B124/$B$2*B$35*0.5,0)</f>
        <v>5</v>
      </c>
      <c r="C54" s="472">
        <f t="shared" si="41"/>
        <v>5</v>
      </c>
      <c r="D54" s="472">
        <f t="shared" si="41"/>
        <v>5</v>
      </c>
      <c r="E54" s="472">
        <f t="shared" si="41"/>
        <v>5</v>
      </c>
      <c r="F54" s="472">
        <f t="shared" si="41"/>
        <v>5</v>
      </c>
      <c r="G54" s="472">
        <f t="shared" si="41"/>
        <v>5</v>
      </c>
      <c r="H54" s="472">
        <f>ROUND($B124/$B$2*H$35*0.6,0)</f>
        <v>7</v>
      </c>
      <c r="I54" s="472">
        <f>ROUND($B124/$B$2*I$35*0.6,0)</f>
        <v>7</v>
      </c>
      <c r="J54" s="472">
        <f>ROUND($B124/$B$2*J$35*0.6,0)</f>
        <v>7</v>
      </c>
      <c r="K54" s="472">
        <f>ROUND($B124/$B$2*K$35*0.8,0)</f>
        <v>10</v>
      </c>
      <c r="L54" s="472">
        <f>ROUND($B124/$B$2*L$35*0.8,0)</f>
        <v>10</v>
      </c>
      <c r="M54" s="472">
        <f>ROUND($B124/$B$2*M$35*0.8,0)</f>
        <v>10</v>
      </c>
      <c r="N54" s="472">
        <f>ROUND($B124/$B$2*N$35,0)-2</f>
        <v>12</v>
      </c>
      <c r="O54" s="472">
        <f>ROUND($B124/$B$2*O$35,0)-2</f>
        <v>12</v>
      </c>
      <c r="P54" s="472">
        <f>ROUND($B124/$B$2*P$35,0)-2</f>
        <v>12</v>
      </c>
      <c r="Q54" s="472">
        <f t="shared" ref="Q54:X65" si="42">ROUND($B124/$B$2*Q$35,0)</f>
        <v>14</v>
      </c>
      <c r="R54" s="472">
        <f t="shared" si="42"/>
        <v>14</v>
      </c>
      <c r="S54" s="472">
        <f t="shared" si="42"/>
        <v>14</v>
      </c>
      <c r="T54" s="472">
        <f t="shared" si="42"/>
        <v>14</v>
      </c>
      <c r="U54" s="472">
        <f t="shared" si="42"/>
        <v>14</v>
      </c>
      <c r="V54" s="472">
        <f t="shared" si="42"/>
        <v>14</v>
      </c>
      <c r="W54" s="472">
        <f t="shared" si="42"/>
        <v>14</v>
      </c>
      <c r="X54" s="472">
        <f t="shared" si="42"/>
        <v>14</v>
      </c>
      <c r="Y54" s="472">
        <f>ROUND($B124/$B$2*Y$35,0)-2</f>
        <v>12</v>
      </c>
      <c r="Z54" s="472">
        <f>ROUND($B124/$B$2*Z$35,0)-2</f>
        <v>12</v>
      </c>
      <c r="AA54" s="472">
        <f>ROUND($B124/$B$2*AA$35,0)-2</f>
        <v>12</v>
      </c>
      <c r="AB54" s="473">
        <f>ROUND($B124/$B$2*AB$35,0)-2</f>
        <v>12</v>
      </c>
      <c r="AC54" s="472">
        <v>5</v>
      </c>
      <c r="AD54" s="90">
        <v>39</v>
      </c>
      <c r="AE54" s="90"/>
      <c r="AF54" s="87"/>
      <c r="AG54" s="116"/>
      <c r="AH54" s="95"/>
      <c r="AI54" s="95"/>
      <c r="AJ54" s="87"/>
      <c r="AK54" s="87"/>
    </row>
    <row r="55" spans="1:37" s="11" customFormat="1" ht="12" x14ac:dyDescent="0.2">
      <c r="A55" s="471" t="s">
        <v>186</v>
      </c>
      <c r="B55" s="472">
        <f t="shared" ref="B55:G55" si="43">ROUND($B125/$B$2*B$35*0.6,0)</f>
        <v>4</v>
      </c>
      <c r="C55" s="472">
        <f t="shared" si="43"/>
        <v>4</v>
      </c>
      <c r="D55" s="472">
        <f t="shared" si="43"/>
        <v>4</v>
      </c>
      <c r="E55" s="472">
        <f t="shared" si="43"/>
        <v>4</v>
      </c>
      <c r="F55" s="472">
        <f t="shared" si="43"/>
        <v>4</v>
      </c>
      <c r="G55" s="472">
        <f t="shared" si="43"/>
        <v>4</v>
      </c>
      <c r="H55" s="472">
        <f>ROUND($B125/$B$2*H$35*0.7,0)</f>
        <v>6</v>
      </c>
      <c r="I55" s="472">
        <f>ROUND($B125/$B$2*I$35*0.7,0)</f>
        <v>6</v>
      </c>
      <c r="J55" s="472">
        <f>ROUND($B125/$B$2*J$35*0.7,0)</f>
        <v>6</v>
      </c>
      <c r="K55" s="472">
        <f>ROUND($B125/$B$2*K$35*0.9,0)</f>
        <v>8</v>
      </c>
      <c r="L55" s="472">
        <f>ROUND($B125/$B$2*L$35*0.9,0)</f>
        <v>8</v>
      </c>
      <c r="M55" s="472">
        <f>ROUND($B125/$B$2*M$35*0.9,0)</f>
        <v>8</v>
      </c>
      <c r="N55" s="472">
        <f>ROUND($B125/$B$2*N$35,0)-1</f>
        <v>9</v>
      </c>
      <c r="O55" s="472">
        <f>ROUND($B125/$B$2*O$35,0)-1</f>
        <v>9</v>
      </c>
      <c r="P55" s="472">
        <f>ROUND($B125/$B$2*P$35,0)-1</f>
        <v>9</v>
      </c>
      <c r="Q55" s="472">
        <f t="shared" si="42"/>
        <v>10</v>
      </c>
      <c r="R55" s="472">
        <f t="shared" si="42"/>
        <v>10</v>
      </c>
      <c r="S55" s="472">
        <f t="shared" si="42"/>
        <v>10</v>
      </c>
      <c r="T55" s="472">
        <f t="shared" si="42"/>
        <v>10</v>
      </c>
      <c r="U55" s="472">
        <f t="shared" si="42"/>
        <v>10</v>
      </c>
      <c r="V55" s="472">
        <f t="shared" si="42"/>
        <v>10</v>
      </c>
      <c r="W55" s="472">
        <f t="shared" si="42"/>
        <v>10</v>
      </c>
      <c r="X55" s="472">
        <f t="shared" si="42"/>
        <v>10</v>
      </c>
      <c r="Y55" s="472">
        <f>ROUND($B125/$B$2*Y$35,0)-1</f>
        <v>9</v>
      </c>
      <c r="Z55" s="472">
        <f>ROUND($B125/$B$2*Z$35,0)-1</f>
        <v>9</v>
      </c>
      <c r="AA55" s="472">
        <f>ROUND($B125/$B$2*AA$35,0)-1</f>
        <v>9</v>
      </c>
      <c r="AB55" s="473">
        <f>ROUND($B125/$B$2*AB$35,0)-1</f>
        <v>9</v>
      </c>
      <c r="AC55" s="472">
        <v>4</v>
      </c>
      <c r="AD55" s="92">
        <v>40</v>
      </c>
      <c r="AE55" s="92"/>
      <c r="AG55" s="87"/>
      <c r="AH55" s="87"/>
      <c r="AI55" s="87"/>
      <c r="AJ55" s="87"/>
      <c r="AK55" s="87"/>
    </row>
    <row r="56" spans="1:37" s="11" customFormat="1" ht="12" x14ac:dyDescent="0.2">
      <c r="A56" s="465" t="s">
        <v>187</v>
      </c>
      <c r="B56" s="474">
        <v>0</v>
      </c>
      <c r="C56" s="474">
        <v>0</v>
      </c>
      <c r="D56" s="474">
        <v>0</v>
      </c>
      <c r="E56" s="474">
        <v>0</v>
      </c>
      <c r="F56" s="474">
        <v>0</v>
      </c>
      <c r="G56" s="474">
        <v>0</v>
      </c>
      <c r="H56" s="474">
        <f>ROUND($B126/$B$2*H$35*0.3,0)</f>
        <v>2</v>
      </c>
      <c r="I56" s="474">
        <f>ROUND($B126/$B$2*I$35*0.3,0)</f>
        <v>2</v>
      </c>
      <c r="J56" s="474">
        <f>ROUND($B126/$B$2*J$35*0.3,0)</f>
        <v>2</v>
      </c>
      <c r="K56" s="474">
        <f t="shared" ref="K56:M57" si="44">ROUND($B126/$B$2*K$35*0.5,0)</f>
        <v>4</v>
      </c>
      <c r="L56" s="474">
        <f t="shared" si="44"/>
        <v>4</v>
      </c>
      <c r="M56" s="474">
        <f t="shared" si="44"/>
        <v>4</v>
      </c>
      <c r="N56" s="474">
        <f>ROUND($B126/$B$2*N$35,0)-2</f>
        <v>6</v>
      </c>
      <c r="O56" s="474">
        <f>ROUND($B126/$B$2*O$35,0)-2</f>
        <v>6</v>
      </c>
      <c r="P56" s="474">
        <f>ROUND($B126/$B$2*P$35,0)-2</f>
        <v>6</v>
      </c>
      <c r="Q56" s="474">
        <f t="shared" si="42"/>
        <v>8</v>
      </c>
      <c r="R56" s="474">
        <f t="shared" si="42"/>
        <v>8</v>
      </c>
      <c r="S56" s="474">
        <f t="shared" si="42"/>
        <v>8</v>
      </c>
      <c r="T56" s="474">
        <f t="shared" si="42"/>
        <v>8</v>
      </c>
      <c r="U56" s="474">
        <f t="shared" si="42"/>
        <v>8</v>
      </c>
      <c r="V56" s="474">
        <f t="shared" si="42"/>
        <v>8</v>
      </c>
      <c r="W56" s="474">
        <f t="shared" si="42"/>
        <v>8</v>
      </c>
      <c r="X56" s="474">
        <f t="shared" si="42"/>
        <v>8</v>
      </c>
      <c r="Y56" s="474">
        <f>ROUND($B126/$B$2*Y$35,0)-2</f>
        <v>6</v>
      </c>
      <c r="Z56" s="474">
        <f>ROUND($B126/$B$2*Z$35,0)-2</f>
        <v>6</v>
      </c>
      <c r="AA56" s="474">
        <f>ROUND($B126/$B$2*AA$35,0)-2</f>
        <v>6</v>
      </c>
      <c r="AB56" s="475">
        <f>ROUND($B126/$B$2*AB$35,0)-2</f>
        <v>6</v>
      </c>
      <c r="AC56" s="474">
        <v>0</v>
      </c>
      <c r="AD56" s="90">
        <v>41</v>
      </c>
      <c r="AE56" s="90"/>
      <c r="AF56" s="87"/>
      <c r="AG56" s="110"/>
      <c r="AH56" s="95"/>
      <c r="AI56" s="95"/>
      <c r="AJ56" s="87"/>
      <c r="AK56" s="87"/>
    </row>
    <row r="57" spans="1:37" s="11" customFormat="1" ht="12" x14ac:dyDescent="0.2">
      <c r="A57" s="465" t="s">
        <v>188</v>
      </c>
      <c r="B57" s="474">
        <v>0</v>
      </c>
      <c r="C57" s="474">
        <v>0</v>
      </c>
      <c r="D57" s="474">
        <v>0</v>
      </c>
      <c r="E57" s="474">
        <v>0</v>
      </c>
      <c r="F57" s="474">
        <v>0</v>
      </c>
      <c r="G57" s="474">
        <v>0</v>
      </c>
      <c r="H57" s="474">
        <f>ROUND($B127/$B$2*H$35*0.4,0)</f>
        <v>1</v>
      </c>
      <c r="I57" s="474">
        <f>ROUND($B127/$B$2*I$35*0.4,0)</f>
        <v>1</v>
      </c>
      <c r="J57" s="474">
        <f>ROUND($B127/$B$2*J$35*0.4,0)</f>
        <v>1</v>
      </c>
      <c r="K57" s="474">
        <f t="shared" si="44"/>
        <v>2</v>
      </c>
      <c r="L57" s="474">
        <f t="shared" si="44"/>
        <v>2</v>
      </c>
      <c r="M57" s="474">
        <f t="shared" si="44"/>
        <v>2</v>
      </c>
      <c r="N57" s="474">
        <f>ROUND($B127/$B$2*N$35*0.9,0)-1</f>
        <v>3</v>
      </c>
      <c r="O57" s="474">
        <f>ROUND($B127/$B$2*O$35*0.9,0)-1</f>
        <v>3</v>
      </c>
      <c r="P57" s="474">
        <f>ROUND($B127/$B$2*P$35*0.9,0)-1</f>
        <v>3</v>
      </c>
      <c r="Q57" s="474">
        <f t="shared" si="42"/>
        <v>4</v>
      </c>
      <c r="R57" s="474">
        <f t="shared" si="42"/>
        <v>4</v>
      </c>
      <c r="S57" s="474">
        <f t="shared" si="42"/>
        <v>4</v>
      </c>
      <c r="T57" s="474">
        <f t="shared" si="42"/>
        <v>4</v>
      </c>
      <c r="U57" s="474">
        <f t="shared" si="42"/>
        <v>4</v>
      </c>
      <c r="V57" s="474">
        <f t="shared" si="42"/>
        <v>4</v>
      </c>
      <c r="W57" s="474">
        <f t="shared" si="42"/>
        <v>4</v>
      </c>
      <c r="X57" s="474">
        <f t="shared" si="42"/>
        <v>4</v>
      </c>
      <c r="Y57" s="474">
        <f>ROUND($B127/$B$2*Y$35*0.9,0)-1</f>
        <v>3</v>
      </c>
      <c r="Z57" s="474">
        <f>ROUND($B127/$B$2*Z$35*0.9,0)-1</f>
        <v>3</v>
      </c>
      <c r="AA57" s="474">
        <f>ROUND($B127/$B$2*AA$35*0.9,0)-1</f>
        <v>3</v>
      </c>
      <c r="AB57" s="475">
        <f>ROUND($B127/$B$2*AB$35*0.9,0)-1</f>
        <v>3</v>
      </c>
      <c r="AC57" s="474">
        <v>0</v>
      </c>
      <c r="AD57" s="92">
        <v>42</v>
      </c>
      <c r="AE57" s="92"/>
      <c r="AF57" s="107"/>
      <c r="AG57" s="110"/>
      <c r="AH57" s="95"/>
      <c r="AI57" s="95"/>
      <c r="AJ57" s="87"/>
      <c r="AK57" s="87"/>
    </row>
    <row r="58" spans="1:37" s="11" customFormat="1" x14ac:dyDescent="0.2">
      <c r="A58" s="471" t="s">
        <v>189</v>
      </c>
      <c r="B58" s="472">
        <v>0</v>
      </c>
      <c r="C58" s="472">
        <v>0</v>
      </c>
      <c r="D58" s="472">
        <v>0</v>
      </c>
      <c r="E58" s="472">
        <v>0</v>
      </c>
      <c r="F58" s="472">
        <v>0</v>
      </c>
      <c r="G58" s="472">
        <v>0</v>
      </c>
      <c r="H58" s="472">
        <f>ROUND($B128/$B$2*H$35*0.3,0)</f>
        <v>3</v>
      </c>
      <c r="I58" s="472">
        <f>ROUND($B128/$B$2*I$35*0.3,0)</f>
        <v>3</v>
      </c>
      <c r="J58" s="472">
        <f>ROUND($B128/$B$2*J$35*0.3,0)</f>
        <v>3</v>
      </c>
      <c r="K58" s="472">
        <f>ROUND($B128/$B$2*K$35*0.6,0)</f>
        <v>6</v>
      </c>
      <c r="L58" s="472">
        <f>ROUND($B128/$B$2*L$35*0.6,0)</f>
        <v>6</v>
      </c>
      <c r="M58" s="472">
        <f>ROUND($B128/$B$2*M$35*0.6,0)</f>
        <v>6</v>
      </c>
      <c r="N58" s="472">
        <f>ROUND($B128/$B$2*N$35*0.8,0)</f>
        <v>9</v>
      </c>
      <c r="O58" s="472">
        <f>ROUND($B128/$B$2*O$35*0.8,0)</f>
        <v>9</v>
      </c>
      <c r="P58" s="472">
        <f>ROUND($B128/$B$2*P$35*0.8,0)</f>
        <v>9</v>
      </c>
      <c r="Q58" s="472">
        <f t="shared" si="42"/>
        <v>11</v>
      </c>
      <c r="R58" s="472">
        <f t="shared" si="42"/>
        <v>11</v>
      </c>
      <c r="S58" s="472">
        <f t="shared" si="42"/>
        <v>11</v>
      </c>
      <c r="T58" s="472">
        <f t="shared" si="42"/>
        <v>11</v>
      </c>
      <c r="U58" s="472">
        <f t="shared" si="42"/>
        <v>11</v>
      </c>
      <c r="V58" s="472">
        <f t="shared" si="42"/>
        <v>11</v>
      </c>
      <c r="W58" s="472">
        <f t="shared" si="42"/>
        <v>11</v>
      </c>
      <c r="X58" s="472">
        <f t="shared" si="42"/>
        <v>11</v>
      </c>
      <c r="Y58" s="472">
        <f>ROUND($B128/$B$2*Y$35*0.8,0)</f>
        <v>9</v>
      </c>
      <c r="Z58" s="472">
        <f>ROUND($B128/$B$2*Z$35*0.8,0)</f>
        <v>9</v>
      </c>
      <c r="AA58" s="472">
        <f>ROUND($B128/$B$2*AA$35*0.8,0)</f>
        <v>9</v>
      </c>
      <c r="AB58" s="473">
        <f>ROUND($B128/$B$2*AB$35*0.8,0)</f>
        <v>9</v>
      </c>
      <c r="AC58" s="472">
        <v>0</v>
      </c>
      <c r="AD58" s="90">
        <v>43</v>
      </c>
      <c r="AE58" s="90"/>
      <c r="AF58" s="109"/>
      <c r="AG58" s="109"/>
      <c r="AH58" s="95"/>
      <c r="AI58" s="87"/>
      <c r="AJ58" s="72"/>
      <c r="AK58" s="87"/>
    </row>
    <row r="59" spans="1:37" s="11" customFormat="1" x14ac:dyDescent="0.2">
      <c r="A59" s="471" t="s">
        <v>190</v>
      </c>
      <c r="B59" s="472">
        <v>0</v>
      </c>
      <c r="C59" s="472">
        <v>0</v>
      </c>
      <c r="D59" s="472">
        <v>0</v>
      </c>
      <c r="E59" s="472">
        <v>0</v>
      </c>
      <c r="F59" s="472">
        <v>0</v>
      </c>
      <c r="G59" s="472">
        <v>0</v>
      </c>
      <c r="H59" s="472">
        <f>ROUND($B129/$B$2*H$35*0.4,0)</f>
        <v>2</v>
      </c>
      <c r="I59" s="472">
        <f>ROUND($B129/$B$2*I$35*0.4,0)</f>
        <v>2</v>
      </c>
      <c r="J59" s="472">
        <f>ROUND($B129/$B$2*J$35*0.4,0)</f>
        <v>2</v>
      </c>
      <c r="K59" s="472">
        <f>ROUND($B129/$B$2*K$35*0.7,0)</f>
        <v>4</v>
      </c>
      <c r="L59" s="472">
        <f>ROUND($B129/$B$2*L$35*0.7,0)</f>
        <v>4</v>
      </c>
      <c r="M59" s="472">
        <f>ROUND($B129/$B$2*M$35*0.7,0)</f>
        <v>4</v>
      </c>
      <c r="N59" s="472">
        <f>ROUND($B129/$B$2*N$35*0.9,0)</f>
        <v>6</v>
      </c>
      <c r="O59" s="472">
        <f>ROUND($B129/$B$2*O$35*0.9,0)</f>
        <v>6</v>
      </c>
      <c r="P59" s="472">
        <f>ROUND($B129/$B$2*P$35*0.9,0)</f>
        <v>6</v>
      </c>
      <c r="Q59" s="472">
        <f t="shared" si="42"/>
        <v>7</v>
      </c>
      <c r="R59" s="472">
        <f t="shared" si="42"/>
        <v>7</v>
      </c>
      <c r="S59" s="472">
        <f t="shared" si="42"/>
        <v>7</v>
      </c>
      <c r="T59" s="472">
        <f t="shared" si="42"/>
        <v>7</v>
      </c>
      <c r="U59" s="472">
        <f t="shared" si="42"/>
        <v>7</v>
      </c>
      <c r="V59" s="472">
        <f t="shared" si="42"/>
        <v>7</v>
      </c>
      <c r="W59" s="472">
        <f t="shared" si="42"/>
        <v>7</v>
      </c>
      <c r="X59" s="472">
        <f t="shared" si="42"/>
        <v>7</v>
      </c>
      <c r="Y59" s="472">
        <f>ROUND($B129/$B$2*Y$35*0.9,0)</f>
        <v>6</v>
      </c>
      <c r="Z59" s="472">
        <f>ROUND($B129/$B$2*Z$35*0.9,0)</f>
        <v>6</v>
      </c>
      <c r="AA59" s="472">
        <f>ROUND($B129/$B$2*AA$35*0.9,0)</f>
        <v>6</v>
      </c>
      <c r="AB59" s="473">
        <f>ROUND($B129/$B$2*AB$35*0.9,0)</f>
        <v>6</v>
      </c>
      <c r="AC59" s="472">
        <v>0</v>
      </c>
      <c r="AD59" s="92">
        <v>44</v>
      </c>
      <c r="AE59" s="92"/>
      <c r="AF59" s="109"/>
      <c r="AG59" s="20"/>
      <c r="AH59" s="20"/>
      <c r="AJ59" s="72"/>
      <c r="AK59" s="87"/>
    </row>
    <row r="60" spans="1:37" s="11" customFormat="1" x14ac:dyDescent="0.2">
      <c r="A60" s="465" t="s">
        <v>191</v>
      </c>
      <c r="B60" s="474">
        <f t="shared" ref="B60:G61" si="45">ROUND($B130/$B$2*B$35*0.4,0)</f>
        <v>5</v>
      </c>
      <c r="C60" s="474">
        <f t="shared" si="45"/>
        <v>5</v>
      </c>
      <c r="D60" s="474">
        <f t="shared" si="45"/>
        <v>5</v>
      </c>
      <c r="E60" s="474">
        <f t="shared" si="45"/>
        <v>5</v>
      </c>
      <c r="F60" s="474">
        <f t="shared" si="45"/>
        <v>5</v>
      </c>
      <c r="G60" s="474">
        <f t="shared" si="45"/>
        <v>5</v>
      </c>
      <c r="H60" s="474">
        <f>ROUND($B130/$B$2*H$35*0.6,0)</f>
        <v>9</v>
      </c>
      <c r="I60" s="474">
        <f>ROUND($B130/$B$2*I$35*0.6,0)</f>
        <v>9</v>
      </c>
      <c r="J60" s="474">
        <f>ROUND($B130/$B$2*J$35*0.6,0)</f>
        <v>9</v>
      </c>
      <c r="K60" s="474">
        <f>ROUND($B130/$B$2*K$35*0.8,0)</f>
        <v>13</v>
      </c>
      <c r="L60" s="474">
        <f>ROUND($B130/$B$2*L$35*0.8,0)</f>
        <v>13</v>
      </c>
      <c r="M60" s="474">
        <f>ROUND($B130/$B$2*M$35*0.8,0)</f>
        <v>13</v>
      </c>
      <c r="N60" s="474">
        <f>ROUND($B130/$B$2*N$35,0)-2</f>
        <v>16</v>
      </c>
      <c r="O60" s="474">
        <f>ROUND($B130/$B$2*O$35,0)-2</f>
        <v>16</v>
      </c>
      <c r="P60" s="474">
        <f>ROUND($B130/$B$2*P$35,0)-2</f>
        <v>16</v>
      </c>
      <c r="Q60" s="474">
        <f t="shared" si="42"/>
        <v>18</v>
      </c>
      <c r="R60" s="474">
        <f t="shared" si="42"/>
        <v>18</v>
      </c>
      <c r="S60" s="474">
        <f t="shared" si="42"/>
        <v>18</v>
      </c>
      <c r="T60" s="474">
        <f t="shared" si="42"/>
        <v>18</v>
      </c>
      <c r="U60" s="474">
        <f t="shared" si="42"/>
        <v>18</v>
      </c>
      <c r="V60" s="474">
        <f t="shared" si="42"/>
        <v>18</v>
      </c>
      <c r="W60" s="474">
        <f t="shared" si="42"/>
        <v>18</v>
      </c>
      <c r="X60" s="474">
        <f t="shared" si="42"/>
        <v>18</v>
      </c>
      <c r="Y60" s="474">
        <f>ROUND($B130/$B$2*Y$35,0)-2</f>
        <v>16</v>
      </c>
      <c r="Z60" s="474">
        <f>ROUND($B130/$B$2*Z$35,0)-2</f>
        <v>16</v>
      </c>
      <c r="AA60" s="474">
        <f>ROUND($B130/$B$2*AA$35,0)-2</f>
        <v>16</v>
      </c>
      <c r="AB60" s="475">
        <f>ROUND($B130/$B$2*AB$35,0)-2</f>
        <v>16</v>
      </c>
      <c r="AC60" s="474">
        <v>5</v>
      </c>
      <c r="AD60" s="90">
        <v>45</v>
      </c>
      <c r="AE60" s="90"/>
      <c r="AF60" s="107"/>
      <c r="AG60" s="20"/>
      <c r="AH60" s="20"/>
      <c r="AI60" s="7"/>
      <c r="AJ60" s="72"/>
      <c r="AK60" s="34"/>
    </row>
    <row r="61" spans="1:37" s="11" customFormat="1" x14ac:dyDescent="0.2">
      <c r="A61" s="465" t="s">
        <v>192</v>
      </c>
      <c r="B61" s="474">
        <f t="shared" si="45"/>
        <v>4</v>
      </c>
      <c r="C61" s="474">
        <f t="shared" si="45"/>
        <v>4</v>
      </c>
      <c r="D61" s="474">
        <f t="shared" si="45"/>
        <v>4</v>
      </c>
      <c r="E61" s="474">
        <f t="shared" si="45"/>
        <v>4</v>
      </c>
      <c r="F61" s="474">
        <f t="shared" si="45"/>
        <v>4</v>
      </c>
      <c r="G61" s="474">
        <f t="shared" si="45"/>
        <v>4</v>
      </c>
      <c r="H61" s="474">
        <f t="shared" ref="H61:J62" si="46">ROUND($B131/$B$2*H$35*0.7,0)</f>
        <v>8</v>
      </c>
      <c r="I61" s="474">
        <f t="shared" si="46"/>
        <v>8</v>
      </c>
      <c r="J61" s="474">
        <f t="shared" si="46"/>
        <v>8</v>
      </c>
      <c r="K61" s="474">
        <f>ROUND($B131/$B$2*K$35*0.9,0)</f>
        <v>11</v>
      </c>
      <c r="L61" s="474">
        <f>ROUND($B131/$B$2*L$35*0.9,0)</f>
        <v>11</v>
      </c>
      <c r="M61" s="474">
        <f>ROUND($B131/$B$2*M$35*0.9,0)</f>
        <v>11</v>
      </c>
      <c r="N61" s="474">
        <f>ROUND($B131/$B$2*N$35,0)-1</f>
        <v>13</v>
      </c>
      <c r="O61" s="474">
        <f>ROUND($B131/$B$2*O$35,0)-1</f>
        <v>13</v>
      </c>
      <c r="P61" s="474">
        <f>ROUND($B131/$B$2*P$35,0)-1</f>
        <v>13</v>
      </c>
      <c r="Q61" s="474">
        <f t="shared" si="42"/>
        <v>14</v>
      </c>
      <c r="R61" s="474">
        <f t="shared" si="42"/>
        <v>14</v>
      </c>
      <c r="S61" s="474">
        <f t="shared" si="42"/>
        <v>14</v>
      </c>
      <c r="T61" s="474">
        <f t="shared" si="42"/>
        <v>14</v>
      </c>
      <c r="U61" s="474">
        <f t="shared" si="42"/>
        <v>14</v>
      </c>
      <c r="V61" s="474">
        <f t="shared" si="42"/>
        <v>14</v>
      </c>
      <c r="W61" s="474">
        <f t="shared" si="42"/>
        <v>14</v>
      </c>
      <c r="X61" s="474">
        <f t="shared" si="42"/>
        <v>14</v>
      </c>
      <c r="Y61" s="474">
        <f>ROUND($B131/$B$2*Y$35,0)-1</f>
        <v>13</v>
      </c>
      <c r="Z61" s="474">
        <f>ROUND($B131/$B$2*Z$35,0)-1</f>
        <v>13</v>
      </c>
      <c r="AA61" s="474">
        <f>ROUND($B131/$B$2*AA$35,0)-1</f>
        <v>13</v>
      </c>
      <c r="AB61" s="475">
        <f>ROUND($B131/$B$2*AB$35,0)-1</f>
        <v>13</v>
      </c>
      <c r="AC61" s="474">
        <v>4</v>
      </c>
      <c r="AD61" s="92">
        <v>46</v>
      </c>
      <c r="AE61" s="92"/>
      <c r="AF61" s="107"/>
      <c r="AG61" s="7"/>
      <c r="AH61" s="7"/>
      <c r="AI61" s="7"/>
      <c r="AJ61" s="72"/>
      <c r="AK61" s="34"/>
    </row>
    <row r="62" spans="1:37" s="11" customFormat="1" ht="12" x14ac:dyDescent="0.2">
      <c r="A62" s="471" t="s">
        <v>193</v>
      </c>
      <c r="B62" s="472">
        <f t="shared" ref="B62:G62" si="47">ROUND($B132/$B$2*B$35*0.7,0)</f>
        <v>5</v>
      </c>
      <c r="C62" s="472">
        <f t="shared" si="47"/>
        <v>5</v>
      </c>
      <c r="D62" s="472">
        <f t="shared" si="47"/>
        <v>5</v>
      </c>
      <c r="E62" s="472">
        <f t="shared" si="47"/>
        <v>5</v>
      </c>
      <c r="F62" s="472">
        <f t="shared" si="47"/>
        <v>5</v>
      </c>
      <c r="G62" s="472">
        <f t="shared" si="47"/>
        <v>5</v>
      </c>
      <c r="H62" s="472">
        <f t="shared" si="46"/>
        <v>6</v>
      </c>
      <c r="I62" s="472">
        <f t="shared" si="46"/>
        <v>6</v>
      </c>
      <c r="J62" s="472">
        <f t="shared" si="46"/>
        <v>6</v>
      </c>
      <c r="K62" s="472">
        <f>ROUND($B132/$B$2*K$35*0.8,0)</f>
        <v>8</v>
      </c>
      <c r="L62" s="472">
        <f>ROUND($B132/$B$2*L$35*0.8,0)</f>
        <v>8</v>
      </c>
      <c r="M62" s="472">
        <f>ROUND($B132/$B$2*M$35*0.8,0)</f>
        <v>8</v>
      </c>
      <c r="N62" s="472">
        <f>ROUND($B132/$B$2*N$35*0.9,0)-1</f>
        <v>9</v>
      </c>
      <c r="O62" s="472">
        <f>ROUND($B132/$B$2*O$35*0.9,0)-1</f>
        <v>9</v>
      </c>
      <c r="P62" s="472">
        <f>ROUND($B132/$B$2*P$35*0.9,0)-1</f>
        <v>9</v>
      </c>
      <c r="Q62" s="472">
        <f t="shared" si="42"/>
        <v>11</v>
      </c>
      <c r="R62" s="472">
        <f t="shared" si="42"/>
        <v>11</v>
      </c>
      <c r="S62" s="472">
        <f t="shared" si="42"/>
        <v>11</v>
      </c>
      <c r="T62" s="472">
        <f t="shared" si="42"/>
        <v>11</v>
      </c>
      <c r="U62" s="472">
        <f t="shared" si="42"/>
        <v>11</v>
      </c>
      <c r="V62" s="472">
        <f t="shared" si="42"/>
        <v>11</v>
      </c>
      <c r="W62" s="472">
        <f t="shared" si="42"/>
        <v>11</v>
      </c>
      <c r="X62" s="472">
        <f t="shared" si="42"/>
        <v>11</v>
      </c>
      <c r="Y62" s="472">
        <f>ROUND($B132/$B$2*Y$35*0.9,0)-1</f>
        <v>9</v>
      </c>
      <c r="Z62" s="472">
        <f>ROUND($B132/$B$2*Z$35*0.9,0)-1</f>
        <v>9</v>
      </c>
      <c r="AA62" s="472">
        <f>ROUND($B132/$B$2*AA$35*0.9,0)-1</f>
        <v>9</v>
      </c>
      <c r="AB62" s="473">
        <f>ROUND($B132/$B$2*AB$35*0.9,0)-1</f>
        <v>9</v>
      </c>
      <c r="AC62" s="472">
        <v>5</v>
      </c>
      <c r="AD62" s="90">
        <v>47</v>
      </c>
      <c r="AE62" s="90"/>
      <c r="AF62" s="20"/>
      <c r="AG62" s="7"/>
      <c r="AH62" s="7"/>
      <c r="AI62" s="7"/>
      <c r="AK62" s="34"/>
    </row>
    <row r="63" spans="1:37" s="11" customFormat="1" ht="12" x14ac:dyDescent="0.2">
      <c r="A63" s="471" t="s">
        <v>194</v>
      </c>
      <c r="B63" s="472">
        <f t="shared" ref="B63:G63" si="48">ROUND($B133/$B$2*B$35*0.8,0)</f>
        <v>4</v>
      </c>
      <c r="C63" s="472">
        <f t="shared" si="48"/>
        <v>4</v>
      </c>
      <c r="D63" s="472">
        <f t="shared" si="48"/>
        <v>4</v>
      </c>
      <c r="E63" s="472">
        <f t="shared" si="48"/>
        <v>4</v>
      </c>
      <c r="F63" s="472">
        <f t="shared" si="48"/>
        <v>4</v>
      </c>
      <c r="G63" s="472">
        <f t="shared" si="48"/>
        <v>4</v>
      </c>
      <c r="H63" s="472">
        <f>ROUND($B133/$B$2*H$35*0.9,0)</f>
        <v>5</v>
      </c>
      <c r="I63" s="472">
        <f>ROUND($B133/$B$2*I$35*0.9,0)</f>
        <v>5</v>
      </c>
      <c r="J63" s="472">
        <f>ROUND($B133/$B$2*J$35*0.9,0)</f>
        <v>5</v>
      </c>
      <c r="K63" s="472">
        <f>ROUND($B133/$B$2*K$35,0)</f>
        <v>6</v>
      </c>
      <c r="L63" s="472">
        <f>ROUND($B133/$B$2*L$35,0)</f>
        <v>6</v>
      </c>
      <c r="M63" s="472">
        <f>ROUND($B133/$B$2*M$35,0)</f>
        <v>6</v>
      </c>
      <c r="N63" s="472">
        <f>ROUND($B133/$B$2*N$35,0)-1</f>
        <v>6</v>
      </c>
      <c r="O63" s="472">
        <f>ROUND($B133/$B$2*O$35,0)-1</f>
        <v>6</v>
      </c>
      <c r="P63" s="472">
        <f>ROUND($B133/$B$2*P$35,0)-1</f>
        <v>6</v>
      </c>
      <c r="Q63" s="472">
        <f t="shared" si="42"/>
        <v>7</v>
      </c>
      <c r="R63" s="472">
        <f t="shared" si="42"/>
        <v>7</v>
      </c>
      <c r="S63" s="472">
        <f t="shared" si="42"/>
        <v>7</v>
      </c>
      <c r="T63" s="472">
        <f t="shared" si="42"/>
        <v>7</v>
      </c>
      <c r="U63" s="472">
        <f t="shared" si="42"/>
        <v>7</v>
      </c>
      <c r="V63" s="472">
        <f t="shared" si="42"/>
        <v>7</v>
      </c>
      <c r="W63" s="472">
        <f t="shared" si="42"/>
        <v>7</v>
      </c>
      <c r="X63" s="472">
        <f t="shared" si="42"/>
        <v>7</v>
      </c>
      <c r="Y63" s="472">
        <f>ROUND($B133/$B$2*Y$35,0)-1</f>
        <v>6</v>
      </c>
      <c r="Z63" s="472">
        <f>ROUND($B133/$B$2*Z$35,0)-1</f>
        <v>6</v>
      </c>
      <c r="AA63" s="472">
        <f>ROUND($B133/$B$2*AA$35,0)-1</f>
        <v>6</v>
      </c>
      <c r="AB63" s="473">
        <f>ROUND($B133/$B$2*AB$35,0)-1</f>
        <v>6</v>
      </c>
      <c r="AC63" s="472">
        <v>4</v>
      </c>
      <c r="AD63" s="92">
        <v>48</v>
      </c>
      <c r="AE63" s="92"/>
      <c r="AF63" s="20"/>
      <c r="AG63" s="7"/>
      <c r="AH63" s="7"/>
      <c r="AI63" s="7"/>
      <c r="AJ63" s="7"/>
      <c r="AK63" s="34"/>
    </row>
    <row r="64" spans="1:37" s="11" customFormat="1" ht="12" x14ac:dyDescent="0.2">
      <c r="A64" s="465" t="s">
        <v>195</v>
      </c>
      <c r="B64" s="474">
        <f t="shared" ref="B64:G64" si="49">ROUND($B134/$B$2*B$35*0.5,0)-1</f>
        <v>5</v>
      </c>
      <c r="C64" s="474">
        <f t="shared" si="49"/>
        <v>5</v>
      </c>
      <c r="D64" s="474">
        <f t="shared" si="49"/>
        <v>5</v>
      </c>
      <c r="E64" s="474">
        <f t="shared" si="49"/>
        <v>5</v>
      </c>
      <c r="F64" s="474">
        <f t="shared" si="49"/>
        <v>5</v>
      </c>
      <c r="G64" s="474">
        <f t="shared" si="49"/>
        <v>5</v>
      </c>
      <c r="H64" s="474">
        <f>ROUND($B134/$B$2*H$35*0.55,0)</f>
        <v>7</v>
      </c>
      <c r="I64" s="474">
        <f>ROUND($B134/$B$2*I$35*0.55,0)</f>
        <v>7</v>
      </c>
      <c r="J64" s="474">
        <f>ROUND($B134/$B$2*J$35*0.55,0)</f>
        <v>7</v>
      </c>
      <c r="K64" s="474">
        <f>ROUND($B134/$B$2*K$35*0.75,0)</f>
        <v>11</v>
      </c>
      <c r="L64" s="474">
        <f>ROUND($B134/$B$2*L$35*0.75,0)</f>
        <v>11</v>
      </c>
      <c r="M64" s="474">
        <f>ROUND($B134/$B$2*M$35*0.75,0)</f>
        <v>11</v>
      </c>
      <c r="N64" s="474">
        <f>ROUND($B134/$B$2*N$35,0)-2</f>
        <v>14</v>
      </c>
      <c r="O64" s="474">
        <f>ROUND($B134/$B$2*O$35,0)-2</f>
        <v>14</v>
      </c>
      <c r="P64" s="474">
        <f>ROUND($B134/$B$2*P$35,0)-2</f>
        <v>14</v>
      </c>
      <c r="Q64" s="474">
        <f t="shared" si="42"/>
        <v>16</v>
      </c>
      <c r="R64" s="474">
        <f t="shared" si="42"/>
        <v>16</v>
      </c>
      <c r="S64" s="474">
        <f t="shared" si="42"/>
        <v>16</v>
      </c>
      <c r="T64" s="474">
        <f t="shared" si="42"/>
        <v>16</v>
      </c>
      <c r="U64" s="474">
        <f t="shared" si="42"/>
        <v>16</v>
      </c>
      <c r="V64" s="474">
        <f t="shared" si="42"/>
        <v>16</v>
      </c>
      <c r="W64" s="474">
        <f t="shared" si="42"/>
        <v>16</v>
      </c>
      <c r="X64" s="474">
        <f t="shared" si="42"/>
        <v>16</v>
      </c>
      <c r="Y64" s="474">
        <f>ROUND($B134/$B$2*Y$35,0)-2</f>
        <v>14</v>
      </c>
      <c r="Z64" s="474">
        <f>ROUND($B134/$B$2*Z$35,0)-2</f>
        <v>14</v>
      </c>
      <c r="AA64" s="474">
        <f>ROUND($B134/$B$2*AA$35,0)-2</f>
        <v>14</v>
      </c>
      <c r="AB64" s="475">
        <f>ROUND($B134/$B$2*AB$35,0)-2</f>
        <v>14</v>
      </c>
      <c r="AC64" s="474">
        <v>5</v>
      </c>
      <c r="AD64" s="90">
        <v>49</v>
      </c>
      <c r="AE64" s="90"/>
      <c r="AF64" s="20"/>
      <c r="AG64" s="7"/>
      <c r="AH64" s="7"/>
      <c r="AI64" s="7"/>
      <c r="AJ64" s="7"/>
      <c r="AK64" s="34"/>
    </row>
    <row r="65" spans="1:46" s="11" customFormat="1" thickBot="1" x14ac:dyDescent="0.25">
      <c r="A65" s="476" t="s">
        <v>196</v>
      </c>
      <c r="B65" s="477">
        <f t="shared" ref="B65:G65" si="50">ROUND($B135/$B$2*B$35*0.5,0)</f>
        <v>4</v>
      </c>
      <c r="C65" s="477">
        <f t="shared" si="50"/>
        <v>4</v>
      </c>
      <c r="D65" s="477">
        <f t="shared" si="50"/>
        <v>4</v>
      </c>
      <c r="E65" s="477">
        <f t="shared" si="50"/>
        <v>4</v>
      </c>
      <c r="F65" s="477">
        <f t="shared" si="50"/>
        <v>4</v>
      </c>
      <c r="G65" s="477">
        <f t="shared" si="50"/>
        <v>4</v>
      </c>
      <c r="H65" s="477">
        <f>ROUND($B135/$B$2*H$35*0.6,0)</f>
        <v>6</v>
      </c>
      <c r="I65" s="477">
        <f>ROUND($B135/$B$2*I$35*0.6,0)</f>
        <v>6</v>
      </c>
      <c r="J65" s="477">
        <f>ROUND($B135/$B$2*J$35*0.6,0)</f>
        <v>6</v>
      </c>
      <c r="K65" s="477">
        <f>ROUND($B135/$B$2*K$35*0.8,0)</f>
        <v>9</v>
      </c>
      <c r="L65" s="477">
        <f>ROUND($B135/$B$2*L$35*0.8,0)</f>
        <v>9</v>
      </c>
      <c r="M65" s="477">
        <f>ROUND($B135/$B$2*M$35*0.8,0)</f>
        <v>9</v>
      </c>
      <c r="N65" s="477">
        <f>ROUND($B135/$B$2*N$35,0)-1</f>
        <v>11</v>
      </c>
      <c r="O65" s="477">
        <f>ROUND($B135/$B$2*O$35,0)-1</f>
        <v>11</v>
      </c>
      <c r="P65" s="477">
        <f>ROUND($B135/$B$2*P$35,0)-1</f>
        <v>11</v>
      </c>
      <c r="Q65" s="477">
        <f t="shared" si="42"/>
        <v>12</v>
      </c>
      <c r="R65" s="477">
        <f t="shared" si="42"/>
        <v>12</v>
      </c>
      <c r="S65" s="477">
        <f t="shared" si="42"/>
        <v>12</v>
      </c>
      <c r="T65" s="477">
        <f t="shared" si="42"/>
        <v>12</v>
      </c>
      <c r="U65" s="477">
        <f t="shared" si="42"/>
        <v>12</v>
      </c>
      <c r="V65" s="477">
        <f t="shared" si="42"/>
        <v>12</v>
      </c>
      <c r="W65" s="477">
        <f t="shared" si="42"/>
        <v>12</v>
      </c>
      <c r="X65" s="477">
        <f t="shared" si="42"/>
        <v>12</v>
      </c>
      <c r="Y65" s="477">
        <f>ROUND($B135/$B$2*Y$35,0)-1</f>
        <v>11</v>
      </c>
      <c r="Z65" s="477">
        <f>ROUND($B135/$B$2*Z$35,0)-1</f>
        <v>11</v>
      </c>
      <c r="AA65" s="477">
        <f>ROUND($B135/$B$2*AA$35,0)-1</f>
        <v>11</v>
      </c>
      <c r="AB65" s="336">
        <f>ROUND($B135/$B$2*AB$35,0)-1</f>
        <v>11</v>
      </c>
      <c r="AC65" s="477">
        <v>4</v>
      </c>
      <c r="AD65" s="92">
        <v>50</v>
      </c>
      <c r="AE65" s="92"/>
      <c r="AF65" s="7"/>
      <c r="AG65" s="18"/>
      <c r="AH65" s="18"/>
      <c r="AI65" s="18"/>
      <c r="AJ65" s="7"/>
      <c r="AK65" s="34"/>
    </row>
    <row r="66" spans="1:46" s="11" customFormat="1" ht="12" x14ac:dyDescent="0.2">
      <c r="A66" s="38" t="s">
        <v>197</v>
      </c>
      <c r="B66" s="65">
        <f>IF(SUM(B54,B56,B58,B60,B62,B64)=0,B49*2,SUM(B54,B56,B58,B60,B62,B64))</f>
        <v>20</v>
      </c>
      <c r="C66" s="65">
        <f t="shared" ref="C66:AC67" si="51">IF(SUM(C54,C56,C58,C60,C62,C64)=0,C49*2,SUM(C54,C56,C58,C60,C62,C64))</f>
        <v>20</v>
      </c>
      <c r="D66" s="65">
        <f t="shared" si="51"/>
        <v>20</v>
      </c>
      <c r="E66" s="65">
        <f t="shared" si="51"/>
        <v>20</v>
      </c>
      <c r="F66" s="65">
        <f t="shared" si="51"/>
        <v>20</v>
      </c>
      <c r="G66" s="65">
        <f t="shared" si="51"/>
        <v>20</v>
      </c>
      <c r="H66" s="65">
        <f t="shared" si="51"/>
        <v>34</v>
      </c>
      <c r="I66" s="65">
        <f t="shared" si="51"/>
        <v>34</v>
      </c>
      <c r="J66" s="65">
        <f t="shared" si="51"/>
        <v>34</v>
      </c>
      <c r="K66" s="65">
        <f t="shared" si="51"/>
        <v>52</v>
      </c>
      <c r="L66" s="65">
        <f t="shared" si="51"/>
        <v>52</v>
      </c>
      <c r="M66" s="65">
        <f t="shared" si="51"/>
        <v>52</v>
      </c>
      <c r="N66" s="65">
        <f t="shared" si="51"/>
        <v>66</v>
      </c>
      <c r="O66" s="65">
        <f t="shared" si="51"/>
        <v>66</v>
      </c>
      <c r="P66" s="65">
        <f t="shared" si="51"/>
        <v>66</v>
      </c>
      <c r="Q66" s="65">
        <f t="shared" si="51"/>
        <v>78</v>
      </c>
      <c r="R66" s="65">
        <f t="shared" si="51"/>
        <v>78</v>
      </c>
      <c r="S66" s="65">
        <f t="shared" si="51"/>
        <v>78</v>
      </c>
      <c r="T66" s="65">
        <f t="shared" si="51"/>
        <v>78</v>
      </c>
      <c r="U66" s="65">
        <f t="shared" si="51"/>
        <v>78</v>
      </c>
      <c r="V66" s="65">
        <f t="shared" si="51"/>
        <v>78</v>
      </c>
      <c r="W66" s="65">
        <f t="shared" si="51"/>
        <v>78</v>
      </c>
      <c r="X66" s="65">
        <f t="shared" si="51"/>
        <v>78</v>
      </c>
      <c r="Y66" s="65">
        <f t="shared" si="51"/>
        <v>66</v>
      </c>
      <c r="Z66" s="65">
        <f t="shared" si="51"/>
        <v>66</v>
      </c>
      <c r="AA66" s="65">
        <f t="shared" si="51"/>
        <v>66</v>
      </c>
      <c r="AB66" s="337">
        <f t="shared" si="51"/>
        <v>66</v>
      </c>
      <c r="AC66" s="65">
        <f t="shared" si="51"/>
        <v>20</v>
      </c>
      <c r="AD66" s="90">
        <v>51</v>
      </c>
      <c r="AE66" s="90"/>
      <c r="AF66" s="7"/>
      <c r="AG66" s="18"/>
      <c r="AH66" s="18"/>
      <c r="AI66" s="18"/>
      <c r="AJ66" s="7"/>
      <c r="AK66" s="87"/>
    </row>
    <row r="67" spans="1:46" s="11" customFormat="1" thickBot="1" x14ac:dyDescent="0.25">
      <c r="A67" s="476" t="s">
        <v>198</v>
      </c>
      <c r="B67" s="478">
        <f>IF(SUM(B55,B57,B59,B61,B63,B65)=0,B50*2,SUM(B55,B57,B59,B61,B63,B65))</f>
        <v>16</v>
      </c>
      <c r="C67" s="478">
        <f t="shared" si="51"/>
        <v>16</v>
      </c>
      <c r="D67" s="478">
        <f t="shared" si="51"/>
        <v>16</v>
      </c>
      <c r="E67" s="478">
        <f t="shared" si="51"/>
        <v>16</v>
      </c>
      <c r="F67" s="478">
        <f t="shared" si="51"/>
        <v>16</v>
      </c>
      <c r="G67" s="478">
        <f t="shared" si="51"/>
        <v>16</v>
      </c>
      <c r="H67" s="478">
        <f t="shared" si="51"/>
        <v>28</v>
      </c>
      <c r="I67" s="478">
        <f t="shared" si="51"/>
        <v>28</v>
      </c>
      <c r="J67" s="478">
        <f t="shared" si="51"/>
        <v>28</v>
      </c>
      <c r="K67" s="478">
        <f t="shared" si="51"/>
        <v>40</v>
      </c>
      <c r="L67" s="478">
        <f t="shared" si="51"/>
        <v>40</v>
      </c>
      <c r="M67" s="478">
        <f t="shared" si="51"/>
        <v>40</v>
      </c>
      <c r="N67" s="478">
        <f t="shared" si="51"/>
        <v>48</v>
      </c>
      <c r="O67" s="478">
        <f t="shared" si="51"/>
        <v>48</v>
      </c>
      <c r="P67" s="478">
        <f t="shared" si="51"/>
        <v>48</v>
      </c>
      <c r="Q67" s="478">
        <f t="shared" si="51"/>
        <v>54</v>
      </c>
      <c r="R67" s="478">
        <f t="shared" si="51"/>
        <v>54</v>
      </c>
      <c r="S67" s="478">
        <f t="shared" si="51"/>
        <v>54</v>
      </c>
      <c r="T67" s="478">
        <f t="shared" si="51"/>
        <v>54</v>
      </c>
      <c r="U67" s="478">
        <f t="shared" si="51"/>
        <v>54</v>
      </c>
      <c r="V67" s="478">
        <f t="shared" si="51"/>
        <v>54</v>
      </c>
      <c r="W67" s="478">
        <f t="shared" si="51"/>
        <v>54</v>
      </c>
      <c r="X67" s="478">
        <f t="shared" si="51"/>
        <v>54</v>
      </c>
      <c r="Y67" s="478">
        <f t="shared" si="51"/>
        <v>48</v>
      </c>
      <c r="Z67" s="478">
        <f t="shared" si="51"/>
        <v>48</v>
      </c>
      <c r="AA67" s="478">
        <f t="shared" si="51"/>
        <v>48</v>
      </c>
      <c r="AB67" s="338">
        <f t="shared" si="51"/>
        <v>48</v>
      </c>
      <c r="AC67" s="478">
        <f t="shared" si="51"/>
        <v>16</v>
      </c>
      <c r="AD67" s="92">
        <v>52</v>
      </c>
      <c r="AE67" s="92"/>
      <c r="AK67" s="34"/>
    </row>
    <row r="68" spans="1:46" s="11" customFormat="1" x14ac:dyDescent="0.2">
      <c r="A68" s="439" t="s">
        <v>199</v>
      </c>
      <c r="B68" s="479"/>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341"/>
      <c r="AD68" s="90">
        <v>53</v>
      </c>
      <c r="AE68" s="90"/>
      <c r="AK68" s="87"/>
    </row>
    <row r="69" spans="1:46" s="11" customFormat="1" ht="12" x14ac:dyDescent="0.2">
      <c r="A69" s="427" t="str">
        <f t="shared" ref="A69:A78" si="52">A105</f>
        <v>Pilot Upper Limit</v>
      </c>
      <c r="B69" s="212">
        <f t="shared" ref="B69:AC69" si="53">$B$105</f>
        <v>13</v>
      </c>
      <c r="C69" s="212">
        <f t="shared" si="53"/>
        <v>13</v>
      </c>
      <c r="D69" s="212">
        <f t="shared" si="53"/>
        <v>13</v>
      </c>
      <c r="E69" s="212">
        <f t="shared" si="53"/>
        <v>13</v>
      </c>
      <c r="F69" s="212">
        <f t="shared" si="53"/>
        <v>13</v>
      </c>
      <c r="G69" s="212">
        <f t="shared" si="53"/>
        <v>13</v>
      </c>
      <c r="H69" s="212">
        <f t="shared" si="53"/>
        <v>13</v>
      </c>
      <c r="I69" s="212">
        <f t="shared" si="53"/>
        <v>13</v>
      </c>
      <c r="J69" s="212">
        <f t="shared" si="53"/>
        <v>13</v>
      </c>
      <c r="K69" s="212">
        <f t="shared" si="53"/>
        <v>13</v>
      </c>
      <c r="L69" s="212">
        <f t="shared" si="53"/>
        <v>13</v>
      </c>
      <c r="M69" s="212">
        <f t="shared" si="53"/>
        <v>13</v>
      </c>
      <c r="N69" s="212">
        <f t="shared" si="53"/>
        <v>13</v>
      </c>
      <c r="O69" s="212">
        <f t="shared" si="53"/>
        <v>13</v>
      </c>
      <c r="P69" s="212">
        <f t="shared" si="53"/>
        <v>13</v>
      </c>
      <c r="Q69" s="212">
        <f t="shared" si="53"/>
        <v>13</v>
      </c>
      <c r="R69" s="212">
        <f t="shared" si="53"/>
        <v>13</v>
      </c>
      <c r="S69" s="212">
        <f t="shared" si="53"/>
        <v>13</v>
      </c>
      <c r="T69" s="212">
        <f t="shared" si="53"/>
        <v>13</v>
      </c>
      <c r="U69" s="212">
        <f t="shared" si="53"/>
        <v>13</v>
      </c>
      <c r="V69" s="212">
        <f t="shared" si="53"/>
        <v>13</v>
      </c>
      <c r="W69" s="212">
        <f t="shared" si="53"/>
        <v>13</v>
      </c>
      <c r="X69" s="212">
        <f t="shared" si="53"/>
        <v>13</v>
      </c>
      <c r="Y69" s="212">
        <f t="shared" si="53"/>
        <v>13</v>
      </c>
      <c r="Z69" s="212">
        <f t="shared" si="53"/>
        <v>13</v>
      </c>
      <c r="AA69" s="212">
        <f t="shared" si="53"/>
        <v>13</v>
      </c>
      <c r="AB69" s="339">
        <f t="shared" si="53"/>
        <v>13</v>
      </c>
      <c r="AC69" s="480">
        <f t="shared" si="53"/>
        <v>13</v>
      </c>
      <c r="AD69" s="92">
        <v>54</v>
      </c>
      <c r="AE69" s="92"/>
      <c r="AK69" s="87"/>
    </row>
    <row r="70" spans="1:46" s="11" customFormat="1" ht="12" x14ac:dyDescent="0.2">
      <c r="A70" s="427" t="str">
        <f t="shared" si="52"/>
        <v>Pilot Lower Limit</v>
      </c>
      <c r="B70" s="481">
        <f>IF(B$99&gt;=90,5,4)</f>
        <v>4</v>
      </c>
      <c r="C70" s="481">
        <f t="shared" ref="C70:AC70" si="54">IF(C$99&gt;=90,5,4)</f>
        <v>4</v>
      </c>
      <c r="D70" s="481">
        <f t="shared" si="54"/>
        <v>4</v>
      </c>
      <c r="E70" s="481">
        <f t="shared" si="54"/>
        <v>4</v>
      </c>
      <c r="F70" s="481">
        <f t="shared" si="54"/>
        <v>4</v>
      </c>
      <c r="G70" s="481">
        <f t="shared" si="54"/>
        <v>4</v>
      </c>
      <c r="H70" s="481">
        <f t="shared" si="54"/>
        <v>4</v>
      </c>
      <c r="I70" s="481">
        <f t="shared" si="54"/>
        <v>4</v>
      </c>
      <c r="J70" s="481">
        <f t="shared" si="54"/>
        <v>4</v>
      </c>
      <c r="K70" s="481">
        <f t="shared" si="54"/>
        <v>4</v>
      </c>
      <c r="L70" s="481">
        <f t="shared" si="54"/>
        <v>4</v>
      </c>
      <c r="M70" s="481">
        <f t="shared" si="54"/>
        <v>4</v>
      </c>
      <c r="N70" s="481">
        <f t="shared" si="54"/>
        <v>4</v>
      </c>
      <c r="O70" s="481">
        <f t="shared" si="54"/>
        <v>4</v>
      </c>
      <c r="P70" s="481">
        <f t="shared" si="54"/>
        <v>4</v>
      </c>
      <c r="Q70" s="481">
        <f t="shared" si="54"/>
        <v>4</v>
      </c>
      <c r="R70" s="481">
        <f t="shared" si="54"/>
        <v>5</v>
      </c>
      <c r="S70" s="481">
        <f t="shared" si="54"/>
        <v>5</v>
      </c>
      <c r="T70" s="481">
        <f t="shared" si="54"/>
        <v>5</v>
      </c>
      <c r="U70" s="481">
        <f t="shared" si="54"/>
        <v>5</v>
      </c>
      <c r="V70" s="481">
        <f t="shared" si="54"/>
        <v>5</v>
      </c>
      <c r="W70" s="481">
        <f t="shared" si="54"/>
        <v>5</v>
      </c>
      <c r="X70" s="481">
        <f t="shared" si="54"/>
        <v>5</v>
      </c>
      <c r="Y70" s="481">
        <f t="shared" si="54"/>
        <v>5</v>
      </c>
      <c r="Z70" s="481">
        <f t="shared" si="54"/>
        <v>4</v>
      </c>
      <c r="AA70" s="481">
        <f t="shared" si="54"/>
        <v>4</v>
      </c>
      <c r="AB70" s="479">
        <f t="shared" si="54"/>
        <v>4</v>
      </c>
      <c r="AC70" s="481">
        <f t="shared" si="54"/>
        <v>4</v>
      </c>
      <c r="AD70" s="90">
        <v>55</v>
      </c>
      <c r="AE70" s="90"/>
      <c r="AK70" s="87"/>
    </row>
    <row r="71" spans="1:46" s="11" customFormat="1" ht="12" x14ac:dyDescent="0.2">
      <c r="A71" s="427" t="str">
        <f t="shared" si="52"/>
        <v>NFO Upper Limit</v>
      </c>
      <c r="B71" s="482">
        <f t="shared" ref="B71:AC71" si="55">$B$107</f>
        <v>13</v>
      </c>
      <c r="C71" s="482">
        <f t="shared" si="55"/>
        <v>13</v>
      </c>
      <c r="D71" s="482">
        <f t="shared" si="55"/>
        <v>13</v>
      </c>
      <c r="E71" s="482">
        <f t="shared" si="55"/>
        <v>13</v>
      </c>
      <c r="F71" s="482">
        <f t="shared" si="55"/>
        <v>13</v>
      </c>
      <c r="G71" s="482">
        <f t="shared" si="55"/>
        <v>13</v>
      </c>
      <c r="H71" s="482">
        <f t="shared" si="55"/>
        <v>13</v>
      </c>
      <c r="I71" s="482">
        <f t="shared" si="55"/>
        <v>13</v>
      </c>
      <c r="J71" s="482">
        <f t="shared" si="55"/>
        <v>13</v>
      </c>
      <c r="K71" s="482">
        <f t="shared" si="55"/>
        <v>13</v>
      </c>
      <c r="L71" s="482">
        <f t="shared" si="55"/>
        <v>13</v>
      </c>
      <c r="M71" s="482">
        <f t="shared" si="55"/>
        <v>13</v>
      </c>
      <c r="N71" s="482">
        <f t="shared" si="55"/>
        <v>13</v>
      </c>
      <c r="O71" s="482">
        <f t="shared" si="55"/>
        <v>13</v>
      </c>
      <c r="P71" s="482">
        <f t="shared" si="55"/>
        <v>13</v>
      </c>
      <c r="Q71" s="482">
        <f t="shared" si="55"/>
        <v>13</v>
      </c>
      <c r="R71" s="482">
        <f t="shared" si="55"/>
        <v>13</v>
      </c>
      <c r="S71" s="482">
        <f t="shared" si="55"/>
        <v>13</v>
      </c>
      <c r="T71" s="482">
        <f t="shared" si="55"/>
        <v>13</v>
      </c>
      <c r="U71" s="482">
        <f t="shared" si="55"/>
        <v>13</v>
      </c>
      <c r="V71" s="482">
        <f t="shared" si="55"/>
        <v>13</v>
      </c>
      <c r="W71" s="482">
        <f t="shared" si="55"/>
        <v>13</v>
      </c>
      <c r="X71" s="482">
        <f t="shared" si="55"/>
        <v>13</v>
      </c>
      <c r="Y71" s="482">
        <f t="shared" si="55"/>
        <v>13</v>
      </c>
      <c r="Z71" s="482">
        <f t="shared" si="55"/>
        <v>13</v>
      </c>
      <c r="AA71" s="482">
        <f t="shared" si="55"/>
        <v>13</v>
      </c>
      <c r="AB71" s="483">
        <f t="shared" si="55"/>
        <v>13</v>
      </c>
      <c r="AC71" s="482">
        <f t="shared" si="55"/>
        <v>13</v>
      </c>
      <c r="AD71" s="92">
        <v>56</v>
      </c>
      <c r="AE71" s="92"/>
    </row>
    <row r="72" spans="1:46" s="11" customFormat="1" ht="12" x14ac:dyDescent="0.2">
      <c r="A72" s="427" t="str">
        <f t="shared" si="52"/>
        <v>NFO Lower Limit</v>
      </c>
      <c r="B72" s="481">
        <f>IF(B$99&gt;=90,5,4)</f>
        <v>4</v>
      </c>
      <c r="C72" s="481">
        <f t="shared" ref="C72:AC72" si="56">IF(C$99&gt;=90,5,4)</f>
        <v>4</v>
      </c>
      <c r="D72" s="481">
        <f t="shared" si="56"/>
        <v>4</v>
      </c>
      <c r="E72" s="481">
        <f t="shared" si="56"/>
        <v>4</v>
      </c>
      <c r="F72" s="481">
        <f t="shared" si="56"/>
        <v>4</v>
      </c>
      <c r="G72" s="481">
        <f t="shared" si="56"/>
        <v>4</v>
      </c>
      <c r="H72" s="481">
        <f t="shared" si="56"/>
        <v>4</v>
      </c>
      <c r="I72" s="481">
        <f t="shared" si="56"/>
        <v>4</v>
      </c>
      <c r="J72" s="481">
        <f t="shared" si="56"/>
        <v>4</v>
      </c>
      <c r="K72" s="481">
        <f t="shared" si="56"/>
        <v>4</v>
      </c>
      <c r="L72" s="481">
        <f t="shared" si="56"/>
        <v>4</v>
      </c>
      <c r="M72" s="481">
        <f t="shared" si="56"/>
        <v>4</v>
      </c>
      <c r="N72" s="481">
        <f t="shared" si="56"/>
        <v>4</v>
      </c>
      <c r="O72" s="481">
        <f t="shared" si="56"/>
        <v>4</v>
      </c>
      <c r="P72" s="481">
        <f t="shared" si="56"/>
        <v>4</v>
      </c>
      <c r="Q72" s="481">
        <f t="shared" si="56"/>
        <v>4</v>
      </c>
      <c r="R72" s="481">
        <f t="shared" si="56"/>
        <v>5</v>
      </c>
      <c r="S72" s="481">
        <f t="shared" si="56"/>
        <v>5</v>
      </c>
      <c r="T72" s="481">
        <f t="shared" si="56"/>
        <v>5</v>
      </c>
      <c r="U72" s="481">
        <f t="shared" si="56"/>
        <v>5</v>
      </c>
      <c r="V72" s="481">
        <f t="shared" si="56"/>
        <v>5</v>
      </c>
      <c r="W72" s="481">
        <f t="shared" si="56"/>
        <v>5</v>
      </c>
      <c r="X72" s="481">
        <f t="shared" si="56"/>
        <v>5</v>
      </c>
      <c r="Y72" s="481">
        <f t="shared" si="56"/>
        <v>5</v>
      </c>
      <c r="Z72" s="481">
        <f t="shared" si="56"/>
        <v>4</v>
      </c>
      <c r="AA72" s="481">
        <f t="shared" si="56"/>
        <v>4</v>
      </c>
      <c r="AB72" s="479">
        <f t="shared" si="56"/>
        <v>4</v>
      </c>
      <c r="AC72" s="481">
        <f t="shared" si="56"/>
        <v>4</v>
      </c>
      <c r="AD72" s="90">
        <v>57</v>
      </c>
      <c r="AE72" s="90"/>
      <c r="AK72" s="7"/>
    </row>
    <row r="73" spans="1:46" s="11" customFormat="1" ht="12" x14ac:dyDescent="0.2">
      <c r="A73" s="427" t="str">
        <f t="shared" si="52"/>
        <v>ACTC Level 5</v>
      </c>
      <c r="B73" s="481" t="s">
        <v>200</v>
      </c>
      <c r="C73" s="481" t="s">
        <v>200</v>
      </c>
      <c r="D73" s="481" t="s">
        <v>200</v>
      </c>
      <c r="E73" s="481" t="s">
        <v>200</v>
      </c>
      <c r="F73" s="481" t="s">
        <v>200</v>
      </c>
      <c r="G73" s="481" t="s">
        <v>200</v>
      </c>
      <c r="H73" s="481" t="s">
        <v>200</v>
      </c>
      <c r="I73" s="481" t="s">
        <v>200</v>
      </c>
      <c r="J73" s="481" t="s">
        <v>200</v>
      </c>
      <c r="K73" s="481" t="s">
        <v>200</v>
      </c>
      <c r="L73" s="481" t="s">
        <v>200</v>
      </c>
      <c r="M73" s="481" t="s">
        <v>200</v>
      </c>
      <c r="N73" s="481" t="s">
        <v>200</v>
      </c>
      <c r="O73" s="481" t="s">
        <v>200</v>
      </c>
      <c r="P73" s="481" t="s">
        <v>200</v>
      </c>
      <c r="Q73" s="481" t="s">
        <v>200</v>
      </c>
      <c r="R73" s="481" t="s">
        <v>200</v>
      </c>
      <c r="S73" s="481" t="s">
        <v>200</v>
      </c>
      <c r="T73" s="481" t="s">
        <v>200</v>
      </c>
      <c r="U73" s="481" t="s">
        <v>200</v>
      </c>
      <c r="V73" s="481" t="s">
        <v>200</v>
      </c>
      <c r="W73" s="481" t="s">
        <v>200</v>
      </c>
      <c r="X73" s="481" t="s">
        <v>200</v>
      </c>
      <c r="Y73" s="481" t="s">
        <v>200</v>
      </c>
      <c r="Z73" s="481" t="s">
        <v>200</v>
      </c>
      <c r="AA73" s="481" t="s">
        <v>200</v>
      </c>
      <c r="AB73" s="479" t="s">
        <v>200</v>
      </c>
      <c r="AC73" s="481" t="s">
        <v>200</v>
      </c>
      <c r="AD73" s="92">
        <v>58</v>
      </c>
      <c r="AE73" s="92"/>
      <c r="AK73" s="7"/>
    </row>
    <row r="74" spans="1:46" s="11" customFormat="1" ht="12" x14ac:dyDescent="0.2">
      <c r="A74" s="427" t="str">
        <f t="shared" si="52"/>
        <v>&gt;= ACTC Level 4</v>
      </c>
      <c r="B74" s="481">
        <f t="shared" ref="B74:AC74" si="57">ROUNDUP(IF(B$13="Deploy",MAX((B$99/100)*$B110,$B110),(B$99/100)*$B110),0)</f>
        <v>3</v>
      </c>
      <c r="C74" s="481">
        <f t="shared" si="57"/>
        <v>3</v>
      </c>
      <c r="D74" s="481">
        <f t="shared" si="57"/>
        <v>3</v>
      </c>
      <c r="E74" s="481">
        <f t="shared" si="57"/>
        <v>3</v>
      </c>
      <c r="F74" s="481">
        <f t="shared" si="57"/>
        <v>3</v>
      </c>
      <c r="G74" s="481">
        <f t="shared" si="57"/>
        <v>3</v>
      </c>
      <c r="H74" s="481">
        <f t="shared" si="57"/>
        <v>4</v>
      </c>
      <c r="I74" s="481">
        <f t="shared" si="57"/>
        <v>4</v>
      </c>
      <c r="J74" s="481">
        <f t="shared" si="57"/>
        <v>5</v>
      </c>
      <c r="K74" s="481">
        <f t="shared" si="57"/>
        <v>5</v>
      </c>
      <c r="L74" s="481">
        <f t="shared" si="57"/>
        <v>6</v>
      </c>
      <c r="M74" s="481">
        <f t="shared" si="57"/>
        <v>6</v>
      </c>
      <c r="N74" s="481">
        <f t="shared" si="57"/>
        <v>6</v>
      </c>
      <c r="O74" s="481">
        <f t="shared" si="57"/>
        <v>6</v>
      </c>
      <c r="P74" s="481">
        <f t="shared" si="57"/>
        <v>6</v>
      </c>
      <c r="Q74" s="481">
        <f t="shared" si="57"/>
        <v>6</v>
      </c>
      <c r="R74" s="481">
        <f t="shared" si="57"/>
        <v>7</v>
      </c>
      <c r="S74" s="481">
        <f t="shared" si="57"/>
        <v>7</v>
      </c>
      <c r="T74" s="481">
        <f t="shared" si="57"/>
        <v>7</v>
      </c>
      <c r="U74" s="481">
        <f t="shared" si="57"/>
        <v>7</v>
      </c>
      <c r="V74" s="481">
        <f t="shared" si="57"/>
        <v>7</v>
      </c>
      <c r="W74" s="481">
        <f t="shared" si="57"/>
        <v>7</v>
      </c>
      <c r="X74" s="481">
        <f t="shared" si="57"/>
        <v>7</v>
      </c>
      <c r="Y74" s="481">
        <f t="shared" si="57"/>
        <v>7</v>
      </c>
      <c r="Z74" s="481">
        <f t="shared" si="57"/>
        <v>6</v>
      </c>
      <c r="AA74" s="481">
        <f t="shared" si="57"/>
        <v>6</v>
      </c>
      <c r="AB74" s="479">
        <f t="shared" si="57"/>
        <v>6</v>
      </c>
      <c r="AC74" s="481">
        <f t="shared" si="57"/>
        <v>3</v>
      </c>
      <c r="AD74" s="90">
        <v>59</v>
      </c>
      <c r="AE74" s="90"/>
      <c r="AK74" s="7"/>
    </row>
    <row r="75" spans="1:46" s="11" customFormat="1" ht="12" x14ac:dyDescent="0.2">
      <c r="A75" s="427" t="str">
        <f t="shared" si="52"/>
        <v>&gt;= ACTC Level 3</v>
      </c>
      <c r="B75" s="481">
        <f t="shared" ref="B75:AC75" si="58">ROUNDUP(IF(B$13="Deploy",MAX((B$99/100)*$B111,$B111),(B$99/100)*$B111),0)</f>
        <v>5</v>
      </c>
      <c r="C75" s="481">
        <f t="shared" si="58"/>
        <v>5</v>
      </c>
      <c r="D75" s="481">
        <f t="shared" si="58"/>
        <v>5</v>
      </c>
      <c r="E75" s="481">
        <f t="shared" si="58"/>
        <v>5</v>
      </c>
      <c r="F75" s="481">
        <f t="shared" si="58"/>
        <v>5</v>
      </c>
      <c r="G75" s="481">
        <f t="shared" si="58"/>
        <v>5</v>
      </c>
      <c r="H75" s="481">
        <f t="shared" si="58"/>
        <v>6</v>
      </c>
      <c r="I75" s="481">
        <f t="shared" si="58"/>
        <v>8</v>
      </c>
      <c r="J75" s="481">
        <f t="shared" si="58"/>
        <v>8</v>
      </c>
      <c r="K75" s="481">
        <f t="shared" si="58"/>
        <v>9</v>
      </c>
      <c r="L75" s="481">
        <f t="shared" si="58"/>
        <v>10</v>
      </c>
      <c r="M75" s="481">
        <f t="shared" si="58"/>
        <v>12</v>
      </c>
      <c r="N75" s="481">
        <f t="shared" si="58"/>
        <v>12</v>
      </c>
      <c r="O75" s="481">
        <f t="shared" si="58"/>
        <v>12</v>
      </c>
      <c r="P75" s="481">
        <f t="shared" si="58"/>
        <v>12</v>
      </c>
      <c r="Q75" s="481">
        <f t="shared" si="58"/>
        <v>12</v>
      </c>
      <c r="R75" s="481">
        <f t="shared" si="58"/>
        <v>13</v>
      </c>
      <c r="S75" s="481">
        <f t="shared" si="58"/>
        <v>13</v>
      </c>
      <c r="T75" s="481">
        <f t="shared" si="58"/>
        <v>13</v>
      </c>
      <c r="U75" s="481">
        <f t="shared" si="58"/>
        <v>13</v>
      </c>
      <c r="V75" s="481">
        <f t="shared" si="58"/>
        <v>13</v>
      </c>
      <c r="W75" s="481">
        <f t="shared" si="58"/>
        <v>13</v>
      </c>
      <c r="X75" s="481">
        <f t="shared" si="58"/>
        <v>13</v>
      </c>
      <c r="Y75" s="481">
        <f t="shared" si="58"/>
        <v>12</v>
      </c>
      <c r="Z75" s="481">
        <f t="shared" si="58"/>
        <v>12</v>
      </c>
      <c r="AA75" s="481">
        <f t="shared" si="58"/>
        <v>11</v>
      </c>
      <c r="AB75" s="479">
        <f t="shared" si="58"/>
        <v>11</v>
      </c>
      <c r="AC75" s="481">
        <f t="shared" si="58"/>
        <v>5</v>
      </c>
      <c r="AD75" s="92">
        <v>60</v>
      </c>
      <c r="AE75" s="92"/>
      <c r="AK75" s="7"/>
    </row>
    <row r="76" spans="1:46" s="11" customFormat="1" x14ac:dyDescent="0.2">
      <c r="A76" s="427" t="str">
        <f t="shared" si="52"/>
        <v>&gt;= ACTC Level 2</v>
      </c>
      <c r="B76" s="481">
        <f t="shared" ref="B76:AC76" si="59">ROUNDUP(IF(B$13="Deploy",MAX((B$99/100)*$B112,$B112),(B$99/100)*$B112),0)</f>
        <v>8</v>
      </c>
      <c r="C76" s="481">
        <f t="shared" si="59"/>
        <v>8</v>
      </c>
      <c r="D76" s="481">
        <f t="shared" si="59"/>
        <v>8</v>
      </c>
      <c r="E76" s="481">
        <f t="shared" si="59"/>
        <v>8</v>
      </c>
      <c r="F76" s="481">
        <f t="shared" si="59"/>
        <v>8</v>
      </c>
      <c r="G76" s="481">
        <f t="shared" si="59"/>
        <v>8</v>
      </c>
      <c r="H76" s="481">
        <f t="shared" si="59"/>
        <v>10</v>
      </c>
      <c r="I76" s="481">
        <f t="shared" si="59"/>
        <v>11</v>
      </c>
      <c r="J76" s="481">
        <f t="shared" si="59"/>
        <v>13</v>
      </c>
      <c r="K76" s="481">
        <f t="shared" si="59"/>
        <v>13</v>
      </c>
      <c r="L76" s="481">
        <f t="shared" si="59"/>
        <v>15</v>
      </c>
      <c r="M76" s="481">
        <f t="shared" si="59"/>
        <v>17</v>
      </c>
      <c r="N76" s="481">
        <f t="shared" si="59"/>
        <v>17</v>
      </c>
      <c r="O76" s="481">
        <f t="shared" si="59"/>
        <v>17</v>
      </c>
      <c r="P76" s="481">
        <f t="shared" si="59"/>
        <v>17</v>
      </c>
      <c r="Q76" s="481">
        <f t="shared" si="59"/>
        <v>17</v>
      </c>
      <c r="R76" s="481">
        <f t="shared" si="59"/>
        <v>20</v>
      </c>
      <c r="S76" s="481">
        <f t="shared" si="59"/>
        <v>20</v>
      </c>
      <c r="T76" s="481">
        <f t="shared" si="59"/>
        <v>20</v>
      </c>
      <c r="U76" s="481">
        <f t="shared" si="59"/>
        <v>20</v>
      </c>
      <c r="V76" s="481">
        <f t="shared" si="59"/>
        <v>20</v>
      </c>
      <c r="W76" s="481">
        <f t="shared" si="59"/>
        <v>20</v>
      </c>
      <c r="X76" s="481">
        <f t="shared" si="59"/>
        <v>19</v>
      </c>
      <c r="Y76" s="481">
        <f t="shared" si="59"/>
        <v>19</v>
      </c>
      <c r="Z76" s="481">
        <f t="shared" si="59"/>
        <v>17</v>
      </c>
      <c r="AA76" s="481">
        <f t="shared" si="59"/>
        <v>17</v>
      </c>
      <c r="AB76" s="479">
        <f t="shared" si="59"/>
        <v>17</v>
      </c>
      <c r="AC76" s="481">
        <f t="shared" si="59"/>
        <v>8</v>
      </c>
      <c r="AD76" s="90">
        <v>61</v>
      </c>
      <c r="AE76" s="90"/>
      <c r="AG76" s="121"/>
      <c r="AH76" s="121"/>
      <c r="AI76" s="121"/>
    </row>
    <row r="77" spans="1:46" s="11" customFormat="1" x14ac:dyDescent="0.2">
      <c r="A77" s="427" t="str">
        <f t="shared" si="52"/>
        <v>CVW STK Lead</v>
      </c>
      <c r="B77" s="481">
        <f t="shared" ref="B77:AC77" si="60">ROUNDUP(IF(B$13="Deploy",MAX((B$99/100)*$B113,$B113),(B$99/100)*$B113),0)</f>
        <v>1</v>
      </c>
      <c r="C77" s="481">
        <f t="shared" si="60"/>
        <v>1</v>
      </c>
      <c r="D77" s="481">
        <f t="shared" si="60"/>
        <v>1</v>
      </c>
      <c r="E77" s="481">
        <f t="shared" si="60"/>
        <v>1</v>
      </c>
      <c r="F77" s="481">
        <f t="shared" si="60"/>
        <v>1</v>
      </c>
      <c r="G77" s="481">
        <f t="shared" si="60"/>
        <v>1</v>
      </c>
      <c r="H77" s="481">
        <f t="shared" si="60"/>
        <v>1</v>
      </c>
      <c r="I77" s="481">
        <f t="shared" si="60"/>
        <v>1</v>
      </c>
      <c r="J77" s="481">
        <f t="shared" si="60"/>
        <v>1</v>
      </c>
      <c r="K77" s="481">
        <f t="shared" si="60"/>
        <v>1</v>
      </c>
      <c r="L77" s="481">
        <f t="shared" si="60"/>
        <v>1</v>
      </c>
      <c r="M77" s="481">
        <f t="shared" si="60"/>
        <v>1</v>
      </c>
      <c r="N77" s="481">
        <f t="shared" si="60"/>
        <v>1</v>
      </c>
      <c r="O77" s="481">
        <f t="shared" si="60"/>
        <v>1</v>
      </c>
      <c r="P77" s="481">
        <f t="shared" si="60"/>
        <v>1</v>
      </c>
      <c r="Q77" s="481">
        <f t="shared" si="60"/>
        <v>1</v>
      </c>
      <c r="R77" s="481">
        <f t="shared" si="60"/>
        <v>1</v>
      </c>
      <c r="S77" s="481">
        <f t="shared" si="60"/>
        <v>1</v>
      </c>
      <c r="T77" s="481">
        <f t="shared" si="60"/>
        <v>1</v>
      </c>
      <c r="U77" s="481">
        <f t="shared" si="60"/>
        <v>1</v>
      </c>
      <c r="V77" s="481">
        <f t="shared" si="60"/>
        <v>1</v>
      </c>
      <c r="W77" s="481">
        <f t="shared" si="60"/>
        <v>1</v>
      </c>
      <c r="X77" s="481">
        <f t="shared" si="60"/>
        <v>1</v>
      </c>
      <c r="Y77" s="481">
        <f t="shared" si="60"/>
        <v>1</v>
      </c>
      <c r="Z77" s="481">
        <f t="shared" si="60"/>
        <v>1</v>
      </c>
      <c r="AA77" s="481">
        <f t="shared" si="60"/>
        <v>1</v>
      </c>
      <c r="AB77" s="479">
        <f t="shared" si="60"/>
        <v>1</v>
      </c>
      <c r="AC77" s="481">
        <f t="shared" si="60"/>
        <v>1</v>
      </c>
      <c r="AD77" s="92">
        <v>62</v>
      </c>
      <c r="AE77" s="92"/>
      <c r="AG77" s="121"/>
      <c r="AH77" s="121"/>
      <c r="AI77" s="121"/>
    </row>
    <row r="78" spans="1:46" s="263" customFormat="1" ht="12" x14ac:dyDescent="0.2">
      <c r="A78" s="427" t="str">
        <f t="shared" si="52"/>
        <v>NVD Qualified Aircrew</v>
      </c>
      <c r="B78" s="481">
        <f t="shared" ref="B78:AC78" si="61">ROUNDUP(IF(B$13="Deploy",MAX((B$99/100)*$B114,$B114),(B$99/100)*$B114),0)</f>
        <v>8</v>
      </c>
      <c r="C78" s="481">
        <f t="shared" si="61"/>
        <v>8</v>
      </c>
      <c r="D78" s="481">
        <f t="shared" si="61"/>
        <v>8</v>
      </c>
      <c r="E78" s="481">
        <f t="shared" si="61"/>
        <v>8</v>
      </c>
      <c r="F78" s="481">
        <f t="shared" si="61"/>
        <v>8</v>
      </c>
      <c r="G78" s="481">
        <f t="shared" si="61"/>
        <v>8</v>
      </c>
      <c r="H78" s="481">
        <f t="shared" si="61"/>
        <v>10</v>
      </c>
      <c r="I78" s="481">
        <f t="shared" si="61"/>
        <v>11</v>
      </c>
      <c r="J78" s="481">
        <f t="shared" si="61"/>
        <v>13</v>
      </c>
      <c r="K78" s="481">
        <f t="shared" si="61"/>
        <v>13</v>
      </c>
      <c r="L78" s="481">
        <f t="shared" si="61"/>
        <v>15</v>
      </c>
      <c r="M78" s="481">
        <f t="shared" si="61"/>
        <v>17</v>
      </c>
      <c r="N78" s="481">
        <f t="shared" si="61"/>
        <v>17</v>
      </c>
      <c r="O78" s="481">
        <f t="shared" si="61"/>
        <v>17</v>
      </c>
      <c r="P78" s="481">
        <f t="shared" si="61"/>
        <v>17</v>
      </c>
      <c r="Q78" s="481">
        <f t="shared" si="61"/>
        <v>17</v>
      </c>
      <c r="R78" s="481">
        <f t="shared" si="61"/>
        <v>20</v>
      </c>
      <c r="S78" s="481">
        <f t="shared" si="61"/>
        <v>20</v>
      </c>
      <c r="T78" s="481">
        <f t="shared" si="61"/>
        <v>20</v>
      </c>
      <c r="U78" s="481">
        <f t="shared" si="61"/>
        <v>20</v>
      </c>
      <c r="V78" s="481">
        <f t="shared" si="61"/>
        <v>20</v>
      </c>
      <c r="W78" s="481">
        <f t="shared" si="61"/>
        <v>20</v>
      </c>
      <c r="X78" s="481">
        <f t="shared" si="61"/>
        <v>19</v>
      </c>
      <c r="Y78" s="481">
        <f t="shared" si="61"/>
        <v>19</v>
      </c>
      <c r="Z78" s="481">
        <f t="shared" si="61"/>
        <v>17</v>
      </c>
      <c r="AA78" s="481">
        <f t="shared" si="61"/>
        <v>17</v>
      </c>
      <c r="AB78" s="479">
        <f t="shared" si="61"/>
        <v>17</v>
      </c>
      <c r="AC78" s="481">
        <f t="shared" si="61"/>
        <v>8</v>
      </c>
      <c r="AD78" s="90">
        <v>63</v>
      </c>
      <c r="AE78" s="90"/>
      <c r="AF78" s="274"/>
      <c r="AG78" s="274"/>
      <c r="AH78" s="274"/>
      <c r="AI78" s="274"/>
      <c r="AJ78" s="274"/>
      <c r="AK78" s="274"/>
      <c r="AL78" s="274"/>
      <c r="AM78" s="274"/>
      <c r="AN78" s="274"/>
      <c r="AO78" s="274"/>
      <c r="AP78" s="274"/>
      <c r="AQ78" s="274"/>
      <c r="AR78" s="274"/>
      <c r="AS78" s="274"/>
      <c r="AT78" s="274"/>
    </row>
    <row r="79" spans="1:46" s="278" customFormat="1" ht="12" x14ac:dyDescent="0.2">
      <c r="A79" s="427" t="s">
        <v>201</v>
      </c>
      <c r="B79" s="481">
        <f t="shared" ref="B79:AC79" si="62">ROUNDUP(IF(B$13="Deploy",MAX((B$99/100)*$B115,$B115),(B$99/100)*$B115),0)</f>
        <v>8</v>
      </c>
      <c r="C79" s="481">
        <f t="shared" si="62"/>
        <v>8</v>
      </c>
      <c r="D79" s="481">
        <f t="shared" si="62"/>
        <v>8</v>
      </c>
      <c r="E79" s="481">
        <f t="shared" si="62"/>
        <v>8</v>
      </c>
      <c r="F79" s="481">
        <f t="shared" si="62"/>
        <v>8</v>
      </c>
      <c r="G79" s="481">
        <f t="shared" si="62"/>
        <v>8</v>
      </c>
      <c r="H79" s="481">
        <f t="shared" si="62"/>
        <v>10</v>
      </c>
      <c r="I79" s="481">
        <f t="shared" si="62"/>
        <v>11</v>
      </c>
      <c r="J79" s="481">
        <f t="shared" si="62"/>
        <v>13</v>
      </c>
      <c r="K79" s="481">
        <f t="shared" si="62"/>
        <v>13</v>
      </c>
      <c r="L79" s="481">
        <f t="shared" si="62"/>
        <v>15</v>
      </c>
      <c r="M79" s="481">
        <f t="shared" si="62"/>
        <v>17</v>
      </c>
      <c r="N79" s="481">
        <f t="shared" si="62"/>
        <v>17</v>
      </c>
      <c r="O79" s="481">
        <f t="shared" si="62"/>
        <v>17</v>
      </c>
      <c r="P79" s="481">
        <f t="shared" si="62"/>
        <v>17</v>
      </c>
      <c r="Q79" s="481">
        <f t="shared" si="62"/>
        <v>17</v>
      </c>
      <c r="R79" s="481">
        <f t="shared" si="62"/>
        <v>20</v>
      </c>
      <c r="S79" s="481">
        <f t="shared" si="62"/>
        <v>20</v>
      </c>
      <c r="T79" s="481">
        <f t="shared" si="62"/>
        <v>20</v>
      </c>
      <c r="U79" s="481">
        <f t="shared" si="62"/>
        <v>20</v>
      </c>
      <c r="V79" s="481">
        <f t="shared" si="62"/>
        <v>20</v>
      </c>
      <c r="W79" s="481">
        <f t="shared" si="62"/>
        <v>20</v>
      </c>
      <c r="X79" s="481">
        <f t="shared" si="62"/>
        <v>19</v>
      </c>
      <c r="Y79" s="481">
        <f t="shared" si="62"/>
        <v>19</v>
      </c>
      <c r="Z79" s="481">
        <f t="shared" si="62"/>
        <v>17</v>
      </c>
      <c r="AA79" s="481">
        <f t="shared" si="62"/>
        <v>17</v>
      </c>
      <c r="AB79" s="479">
        <f t="shared" si="62"/>
        <v>17</v>
      </c>
      <c r="AC79" s="481">
        <f t="shared" si="62"/>
        <v>8</v>
      </c>
      <c r="AD79" s="92">
        <v>64</v>
      </c>
      <c r="AE79" s="92"/>
    </row>
    <row r="80" spans="1:46" s="263" customFormat="1" ht="12" x14ac:dyDescent="0.2">
      <c r="A80" s="427" t="str">
        <f t="shared" ref="A80" si="63">A116</f>
        <v>Required Skilled Crews</v>
      </c>
      <c r="B80" s="481">
        <f t="shared" ref="B80:AC80" si="64">ROUNDUP(IF(B$13="Deploy",MAX((B$99/100)*$B116,$B116),(B$99/100)*$B116),0)</f>
        <v>5</v>
      </c>
      <c r="C80" s="481">
        <f t="shared" si="64"/>
        <v>5</v>
      </c>
      <c r="D80" s="481">
        <f t="shared" si="64"/>
        <v>5</v>
      </c>
      <c r="E80" s="481">
        <f t="shared" si="64"/>
        <v>5</v>
      </c>
      <c r="F80" s="481">
        <f t="shared" si="64"/>
        <v>5</v>
      </c>
      <c r="G80" s="481">
        <f t="shared" si="64"/>
        <v>5</v>
      </c>
      <c r="H80" s="481">
        <f t="shared" si="64"/>
        <v>6</v>
      </c>
      <c r="I80" s="481">
        <f t="shared" si="64"/>
        <v>6</v>
      </c>
      <c r="J80" s="481">
        <f t="shared" si="64"/>
        <v>7</v>
      </c>
      <c r="K80" s="481">
        <f t="shared" si="64"/>
        <v>7</v>
      </c>
      <c r="L80" s="481">
        <f t="shared" si="64"/>
        <v>9</v>
      </c>
      <c r="M80" s="481">
        <f t="shared" si="64"/>
        <v>10</v>
      </c>
      <c r="N80" s="481">
        <f t="shared" si="64"/>
        <v>10</v>
      </c>
      <c r="O80" s="481">
        <f t="shared" si="64"/>
        <v>10</v>
      </c>
      <c r="P80" s="481">
        <f t="shared" si="64"/>
        <v>10</v>
      </c>
      <c r="Q80" s="481">
        <f t="shared" si="64"/>
        <v>10</v>
      </c>
      <c r="R80" s="481">
        <f t="shared" si="64"/>
        <v>11</v>
      </c>
      <c r="S80" s="481">
        <f t="shared" si="64"/>
        <v>11</v>
      </c>
      <c r="T80" s="481">
        <f t="shared" si="64"/>
        <v>11</v>
      </c>
      <c r="U80" s="481">
        <f t="shared" si="64"/>
        <v>11</v>
      </c>
      <c r="V80" s="481">
        <f t="shared" si="64"/>
        <v>11</v>
      </c>
      <c r="W80" s="481">
        <f t="shared" si="64"/>
        <v>11</v>
      </c>
      <c r="X80" s="481">
        <f t="shared" si="64"/>
        <v>11</v>
      </c>
      <c r="Y80" s="481">
        <f t="shared" si="64"/>
        <v>11</v>
      </c>
      <c r="Z80" s="481">
        <f t="shared" si="64"/>
        <v>10</v>
      </c>
      <c r="AA80" s="481">
        <f t="shared" si="64"/>
        <v>10</v>
      </c>
      <c r="AB80" s="479">
        <f t="shared" si="64"/>
        <v>9</v>
      </c>
      <c r="AC80" s="481">
        <f t="shared" si="64"/>
        <v>5</v>
      </c>
      <c r="AD80" s="90">
        <v>65</v>
      </c>
      <c r="AE80" s="90"/>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295"/>
      <c r="Z81" s="295"/>
      <c r="AA81" s="295"/>
      <c r="AB81" s="295"/>
      <c r="AC81" s="486"/>
      <c r="AD81" s="274"/>
      <c r="AE81" s="274"/>
      <c r="AF81" s="274"/>
      <c r="AG81" s="274"/>
      <c r="AH81" s="274"/>
      <c r="AI81" s="274"/>
      <c r="AJ81" s="274"/>
      <c r="AK81" s="274"/>
      <c r="AL81" s="274"/>
      <c r="AM81" s="274"/>
      <c r="AN81" s="274"/>
      <c r="AO81" s="274"/>
      <c r="AP81" s="274"/>
      <c r="AQ81" s="274"/>
      <c r="AR81" s="274"/>
      <c r="AS81" s="274"/>
      <c r="AT81" s="274"/>
    </row>
    <row r="82" spans="1:46" s="278" customFormat="1" ht="12" x14ac:dyDescent="0.2">
      <c r="A82" s="427" t="s">
        <v>203</v>
      </c>
      <c r="B82" s="296">
        <v>0.95</v>
      </c>
      <c r="C82" s="296">
        <v>0.95</v>
      </c>
      <c r="D82" s="296">
        <v>0.95</v>
      </c>
      <c r="E82" s="296">
        <v>0.95</v>
      </c>
      <c r="F82" s="296">
        <v>0.95</v>
      </c>
      <c r="G82" s="296">
        <v>0.95</v>
      </c>
      <c r="H82" s="296">
        <v>0.95</v>
      </c>
      <c r="I82" s="296">
        <v>0.95</v>
      </c>
      <c r="J82" s="296">
        <v>0.95</v>
      </c>
      <c r="K82" s="296">
        <v>0.95</v>
      </c>
      <c r="L82" s="296">
        <v>0.95</v>
      </c>
      <c r="M82" s="296">
        <v>0.95</v>
      </c>
      <c r="N82" s="296">
        <v>0.95</v>
      </c>
      <c r="O82" s="296">
        <v>0.95</v>
      </c>
      <c r="P82" s="296">
        <v>0.95</v>
      </c>
      <c r="Q82" s="296">
        <v>0.95</v>
      </c>
      <c r="R82" s="296">
        <v>0.95</v>
      </c>
      <c r="S82" s="296">
        <v>0.95</v>
      </c>
      <c r="T82" s="296">
        <v>0.95</v>
      </c>
      <c r="U82" s="296">
        <v>0.95</v>
      </c>
      <c r="V82" s="296">
        <v>0.95</v>
      </c>
      <c r="W82" s="296">
        <v>0.95</v>
      </c>
      <c r="X82" s="296">
        <v>0.95</v>
      </c>
      <c r="Y82" s="296">
        <v>0.95</v>
      </c>
      <c r="Z82" s="296">
        <v>0.95</v>
      </c>
      <c r="AA82" s="296">
        <v>0.95</v>
      </c>
      <c r="AB82" s="331">
        <v>0.95</v>
      </c>
      <c r="AC82" s="296">
        <v>0.95</v>
      </c>
    </row>
    <row r="83" spans="1:46" s="11" customFormat="1" x14ac:dyDescent="0.2">
      <c r="A83" s="427" t="s">
        <v>204</v>
      </c>
      <c r="B83" s="487">
        <v>0.92</v>
      </c>
      <c r="C83" s="487">
        <v>0.92</v>
      </c>
      <c r="D83" s="487">
        <v>0.92</v>
      </c>
      <c r="E83" s="487">
        <v>0.92</v>
      </c>
      <c r="F83" s="487">
        <v>0.92</v>
      </c>
      <c r="G83" s="487">
        <v>0.92</v>
      </c>
      <c r="H83" s="487">
        <v>0.92</v>
      </c>
      <c r="I83" s="487">
        <v>0.92</v>
      </c>
      <c r="J83" s="487">
        <v>0.92</v>
      </c>
      <c r="K83" s="487">
        <v>0.92</v>
      </c>
      <c r="L83" s="487">
        <v>0.92</v>
      </c>
      <c r="M83" s="487">
        <v>0.92</v>
      </c>
      <c r="N83" s="487">
        <v>0.92</v>
      </c>
      <c r="O83" s="487">
        <v>0.92</v>
      </c>
      <c r="P83" s="487">
        <v>0.92</v>
      </c>
      <c r="Q83" s="487">
        <v>0.92</v>
      </c>
      <c r="R83" s="487">
        <v>0.92</v>
      </c>
      <c r="S83" s="487">
        <v>0.92</v>
      </c>
      <c r="T83" s="487">
        <v>0.92</v>
      </c>
      <c r="U83" s="487">
        <v>0.92</v>
      </c>
      <c r="V83" s="487">
        <v>0.92</v>
      </c>
      <c r="W83" s="487">
        <v>0.92</v>
      </c>
      <c r="X83" s="487">
        <v>0.92</v>
      </c>
      <c r="Y83" s="487">
        <v>0.92</v>
      </c>
      <c r="Z83" s="487">
        <v>0.92</v>
      </c>
      <c r="AA83" s="487">
        <v>0.92</v>
      </c>
      <c r="AB83" s="488">
        <v>0.92</v>
      </c>
      <c r="AC83" s="487">
        <v>0.92</v>
      </c>
      <c r="AD83" s="274"/>
      <c r="AE83" s="274"/>
      <c r="AF83" s="121"/>
      <c r="AJ83" s="121"/>
    </row>
    <row r="84" spans="1:46" s="11" customFormat="1"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7">
        <v>0.75</v>
      </c>
      <c r="Y84" s="487">
        <v>0.75</v>
      </c>
      <c r="Z84" s="487">
        <v>0.75</v>
      </c>
      <c r="AA84" s="487">
        <v>0.75</v>
      </c>
      <c r="AB84" s="488">
        <v>0.75</v>
      </c>
      <c r="AC84" s="487">
        <v>0.75</v>
      </c>
      <c r="AD84" s="274"/>
      <c r="AE84" s="274"/>
      <c r="AF84" s="85"/>
      <c r="AG84" s="99"/>
      <c r="AH84" s="99"/>
      <c r="AI84" s="99"/>
      <c r="AJ84" s="85"/>
    </row>
    <row r="85" spans="1:46" s="11" customForma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92"/>
      <c r="AE85" s="92"/>
      <c r="AF85" s="85"/>
      <c r="AG85" s="7"/>
      <c r="AH85" s="7"/>
      <c r="AI85" s="7"/>
      <c r="AJ85" s="85"/>
    </row>
    <row r="86" spans="1:46" s="11" customFormat="1" x14ac:dyDescent="0.2">
      <c r="A86" s="113" t="s">
        <v>206</v>
      </c>
      <c r="B86" s="34"/>
      <c r="C86" s="34"/>
      <c r="D86" s="111"/>
      <c r="E86" s="112" t="s">
        <v>207</v>
      </c>
      <c r="F86" s="111"/>
      <c r="G86" s="111"/>
      <c r="H86" s="113"/>
      <c r="I86" s="114"/>
      <c r="J86" s="114"/>
      <c r="K86" s="91"/>
      <c r="L86" s="91"/>
      <c r="M86" s="115"/>
      <c r="N86" s="87"/>
      <c r="O86" s="87"/>
      <c r="P86" s="87"/>
      <c r="Q86" s="91"/>
      <c r="R86" s="7"/>
      <c r="S86" s="91"/>
      <c r="T86" s="111"/>
      <c r="U86" s="72"/>
      <c r="V86" s="111"/>
      <c r="W86" s="111"/>
      <c r="X86" s="111"/>
      <c r="Y86" s="111"/>
      <c r="Z86" s="111"/>
      <c r="AA86" s="111"/>
      <c r="AB86" s="111"/>
      <c r="AC86" s="111"/>
      <c r="AD86" s="90"/>
      <c r="AE86" s="90"/>
      <c r="AF86" s="7"/>
      <c r="AG86" s="7"/>
      <c r="AH86" s="7"/>
      <c r="AI86" s="7"/>
      <c r="AJ86" s="7"/>
    </row>
    <row r="87" spans="1:46" s="11" customFormat="1" x14ac:dyDescent="0.2">
      <c r="A87" s="120" t="s">
        <v>208</v>
      </c>
      <c r="B87" s="34"/>
      <c r="C87" s="34"/>
      <c r="D87" s="111"/>
      <c r="E87" s="100" t="s">
        <v>209</v>
      </c>
      <c r="F87" s="111"/>
      <c r="G87" s="96" t="s">
        <v>210</v>
      </c>
      <c r="H87" s="116"/>
      <c r="I87" s="117"/>
      <c r="J87" s="114"/>
      <c r="K87" s="91"/>
      <c r="L87" s="91"/>
      <c r="M87" s="116"/>
      <c r="N87" s="117"/>
      <c r="O87" s="87"/>
      <c r="P87" s="87"/>
      <c r="Q87" s="91"/>
      <c r="R87" s="85"/>
      <c r="S87" s="72"/>
      <c r="T87" s="85"/>
      <c r="U87" s="72"/>
      <c r="V87" s="111"/>
      <c r="W87" s="111"/>
      <c r="X87" s="111"/>
      <c r="Y87" s="111"/>
      <c r="Z87" s="111"/>
      <c r="AA87" s="111"/>
      <c r="AB87" s="111"/>
      <c r="AC87" s="111"/>
      <c r="AD87" s="85"/>
      <c r="AE87" s="85"/>
      <c r="AF87" s="99"/>
      <c r="AG87" s="7"/>
      <c r="AH87" s="7"/>
      <c r="AI87" s="7"/>
      <c r="AJ87" s="99"/>
    </row>
    <row r="88" spans="1:46" s="11" customFormat="1" x14ac:dyDescent="0.2">
      <c r="A88" s="111"/>
      <c r="B88" s="37"/>
      <c r="C88" s="111"/>
      <c r="D88" s="111"/>
      <c r="E88" s="100" t="s">
        <v>211</v>
      </c>
      <c r="F88" s="111"/>
      <c r="G88" s="118" t="s">
        <v>212</v>
      </c>
      <c r="H88" s="109"/>
      <c r="I88" s="117"/>
      <c r="J88" s="114"/>
      <c r="K88" s="91"/>
      <c r="L88" s="91"/>
      <c r="M88" s="109"/>
      <c r="N88" s="117"/>
      <c r="O88" s="114"/>
      <c r="P88" s="87"/>
      <c r="Q88" s="91"/>
      <c r="R88" s="85"/>
      <c r="S88" s="72"/>
      <c r="T88" s="85"/>
      <c r="U88" s="72"/>
      <c r="V88" s="111"/>
      <c r="W88" s="111"/>
      <c r="X88" s="111"/>
      <c r="Y88" s="111"/>
      <c r="Z88" s="111"/>
      <c r="AA88" s="111"/>
      <c r="AB88" s="111"/>
      <c r="AC88" s="111"/>
      <c r="AD88" s="85"/>
      <c r="AE88" s="85"/>
      <c r="AF88" s="7"/>
      <c r="AG88" s="7"/>
      <c r="AH88" s="7"/>
      <c r="AI88" s="7"/>
      <c r="AJ88" s="7"/>
    </row>
    <row r="89" spans="1:46" s="11" customFormat="1" x14ac:dyDescent="0.2">
      <c r="A89" s="85"/>
      <c r="B89" s="111"/>
      <c r="C89" s="111"/>
      <c r="D89" s="111"/>
      <c r="E89" s="100" t="s">
        <v>213</v>
      </c>
      <c r="F89" s="111"/>
      <c r="G89" s="119" t="s">
        <v>214</v>
      </c>
      <c r="H89" s="34"/>
      <c r="I89" s="87"/>
      <c r="J89" s="87"/>
      <c r="K89" s="87"/>
      <c r="L89" s="87"/>
      <c r="M89" s="34"/>
      <c r="N89" s="87"/>
      <c r="O89" s="87"/>
      <c r="P89" s="87"/>
      <c r="Q89" s="87"/>
      <c r="R89" s="85"/>
      <c r="S89" s="72"/>
      <c r="T89" s="85"/>
      <c r="U89" s="72"/>
      <c r="V89" s="111"/>
      <c r="W89" s="111"/>
      <c r="X89" s="111"/>
      <c r="Y89" s="111"/>
      <c r="Z89" s="111"/>
      <c r="AA89" s="111"/>
      <c r="AB89" s="111"/>
      <c r="AC89" s="111"/>
      <c r="AD89" s="85"/>
      <c r="AE89" s="85"/>
      <c r="AF89" s="7"/>
      <c r="AG89" s="7"/>
      <c r="AH89" s="7"/>
      <c r="AI89" s="7"/>
      <c r="AJ89" s="7"/>
    </row>
    <row r="90" spans="1:46" s="11" customFormat="1" x14ac:dyDescent="0.2">
      <c r="A90" s="85"/>
      <c r="B90" s="111"/>
      <c r="C90" s="111"/>
      <c r="D90" s="111"/>
      <c r="E90" s="100" t="s">
        <v>215</v>
      </c>
      <c r="F90" s="111"/>
      <c r="G90" s="119" t="s">
        <v>216</v>
      </c>
      <c r="H90" s="34"/>
      <c r="I90" s="87"/>
      <c r="J90" s="87"/>
      <c r="K90" s="87"/>
      <c r="L90" s="87"/>
      <c r="M90" s="34"/>
      <c r="N90" s="87"/>
      <c r="O90" s="87"/>
      <c r="P90" s="87"/>
      <c r="Q90" s="87"/>
      <c r="R90" s="85"/>
      <c r="S90" s="72"/>
      <c r="T90" s="85"/>
      <c r="U90" s="72"/>
      <c r="V90" s="111"/>
      <c r="W90" s="111"/>
      <c r="X90" s="111"/>
      <c r="Y90" s="111"/>
      <c r="Z90" s="111"/>
      <c r="AA90" s="111"/>
      <c r="AB90" s="111"/>
      <c r="AC90" s="111"/>
      <c r="AD90" s="85"/>
      <c r="AE90" s="85"/>
      <c r="AF90" s="7"/>
      <c r="AG90" s="7"/>
      <c r="AH90" s="7"/>
      <c r="AI90" s="7"/>
      <c r="AJ90" s="7"/>
    </row>
    <row r="91" spans="1:46" s="11" customFormat="1" x14ac:dyDescent="0.2">
      <c r="A91" s="86"/>
      <c r="B91" s="121"/>
      <c r="C91" s="121"/>
      <c r="D91" s="121"/>
      <c r="E91" s="121"/>
      <c r="F91" s="121"/>
      <c r="G91" s="121"/>
      <c r="H91" s="41"/>
      <c r="I91" s="86"/>
      <c r="J91" s="86"/>
      <c r="K91" s="86"/>
      <c r="L91" s="86"/>
      <c r="M91" s="41"/>
      <c r="N91" s="86"/>
      <c r="O91" s="86"/>
      <c r="P91" s="86"/>
      <c r="Q91" s="86"/>
      <c r="R91" s="41"/>
      <c r="S91" s="86"/>
      <c r="T91" s="86"/>
      <c r="U91" s="121"/>
      <c r="V91" s="121"/>
      <c r="W91" s="121"/>
      <c r="X91" s="121"/>
      <c r="Y91" s="121"/>
      <c r="Z91" s="121"/>
      <c r="AA91" s="121"/>
      <c r="AB91" s="121"/>
      <c r="AC91" s="121"/>
      <c r="AD91" s="85"/>
      <c r="AE91" s="85"/>
      <c r="AF91" s="7"/>
      <c r="AG91" s="7"/>
      <c r="AH91" s="7"/>
      <c r="AI91" s="7"/>
      <c r="AJ91" s="7"/>
    </row>
    <row r="92" spans="1:46" s="11" customFormat="1" ht="13.5" thickBot="1" x14ac:dyDescent="0.25">
      <c r="A92" s="7"/>
      <c r="B92" s="122"/>
      <c r="C92" s="3"/>
      <c r="D92" s="7"/>
      <c r="E92" s="7"/>
      <c r="F92" s="7"/>
      <c r="G92" s="7"/>
      <c r="H92" s="7"/>
      <c r="I92" s="7"/>
      <c r="J92" s="7"/>
      <c r="K92" s="7"/>
      <c r="L92" s="7"/>
      <c r="M92" s="7"/>
      <c r="N92" s="7"/>
      <c r="O92" s="7"/>
      <c r="P92" s="7"/>
      <c r="Q92" s="7"/>
      <c r="R92" s="7"/>
      <c r="S92" s="7"/>
      <c r="T92" s="7"/>
      <c r="U92" s="7"/>
      <c r="V92" s="7"/>
      <c r="W92" s="7"/>
      <c r="X92" s="7"/>
      <c r="Y92" s="7"/>
      <c r="Z92" s="7"/>
      <c r="AA92" s="7"/>
      <c r="AB92" s="7"/>
      <c r="AC92" s="7"/>
      <c r="AD92" s="85"/>
      <c r="AE92" s="85"/>
      <c r="AF92" s="7"/>
      <c r="AG92" s="7"/>
      <c r="AH92" s="7"/>
      <c r="AI92" s="7"/>
      <c r="AJ92" s="7"/>
      <c r="AK92" s="121"/>
    </row>
    <row r="93" spans="1:46" ht="13.5" thickBot="1" x14ac:dyDescent="0.25">
      <c r="A93" s="640" t="s">
        <v>217</v>
      </c>
      <c r="B93" s="641"/>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1"/>
      <c r="AA93" s="641"/>
      <c r="AB93" s="641"/>
      <c r="AC93" s="642"/>
      <c r="AK93" s="85"/>
    </row>
    <row r="94" spans="1:46" x14ac:dyDescent="0.2">
      <c r="A94" s="52" t="s">
        <v>218</v>
      </c>
      <c r="B94" s="53">
        <f t="shared" ref="B94:AC94" si="65">MIN(100,B96+$B$100)</f>
        <v>45.901136923127005</v>
      </c>
      <c r="C94" s="53">
        <f t="shared" si="65"/>
        <v>45.901136923127005</v>
      </c>
      <c r="D94" s="53">
        <f t="shared" si="65"/>
        <v>45.901136923127005</v>
      </c>
      <c r="E94" s="53">
        <f t="shared" si="65"/>
        <v>45.901136923127005</v>
      </c>
      <c r="F94" s="53">
        <f t="shared" si="65"/>
        <v>45.901136923127005</v>
      </c>
      <c r="G94" s="53">
        <f t="shared" si="65"/>
        <v>53.901136923127005</v>
      </c>
      <c r="H94" s="53">
        <f t="shared" si="65"/>
        <v>55.901136923127005</v>
      </c>
      <c r="I94" s="53">
        <f t="shared" si="65"/>
        <v>55.901136923127005</v>
      </c>
      <c r="J94" s="53">
        <f t="shared" si="65"/>
        <v>65.901136923127012</v>
      </c>
      <c r="K94" s="53">
        <f t="shared" si="65"/>
        <v>90.901136923127012</v>
      </c>
      <c r="L94" s="53">
        <f t="shared" si="65"/>
        <v>100</v>
      </c>
      <c r="M94" s="53">
        <f t="shared" si="65"/>
        <v>100</v>
      </c>
      <c r="N94" s="53">
        <f t="shared" si="65"/>
        <v>100</v>
      </c>
      <c r="O94" s="53">
        <f t="shared" si="65"/>
        <v>100</v>
      </c>
      <c r="P94" s="53">
        <f t="shared" si="65"/>
        <v>100</v>
      </c>
      <c r="Q94" s="53">
        <f t="shared" si="65"/>
        <v>100</v>
      </c>
      <c r="R94" s="53">
        <f t="shared" si="65"/>
        <v>100</v>
      </c>
      <c r="S94" s="53">
        <f t="shared" si="65"/>
        <v>100</v>
      </c>
      <c r="T94" s="53">
        <f t="shared" si="65"/>
        <v>100</v>
      </c>
      <c r="U94" s="53">
        <f t="shared" si="65"/>
        <v>100</v>
      </c>
      <c r="V94" s="53">
        <f t="shared" si="65"/>
        <v>100</v>
      </c>
      <c r="W94" s="53">
        <f t="shared" si="65"/>
        <v>100</v>
      </c>
      <c r="X94" s="53">
        <f t="shared" si="65"/>
        <v>100</v>
      </c>
      <c r="Y94" s="53">
        <f t="shared" si="65"/>
        <v>100</v>
      </c>
      <c r="Z94" s="53">
        <f t="shared" si="65"/>
        <v>100</v>
      </c>
      <c r="AA94" s="53">
        <f t="shared" si="65"/>
        <v>100</v>
      </c>
      <c r="AB94" s="54">
        <f t="shared" si="65"/>
        <v>100</v>
      </c>
      <c r="AC94" s="55">
        <f t="shared" si="65"/>
        <v>45.901136923127005</v>
      </c>
      <c r="AG94" s="99"/>
      <c r="AH94" s="99"/>
      <c r="AI94" s="99"/>
      <c r="AK94" s="85"/>
    </row>
    <row r="95" spans="1:46" s="85" customFormat="1" x14ac:dyDescent="0.2">
      <c r="A95" s="489" t="s">
        <v>219</v>
      </c>
      <c r="B95" s="490">
        <f t="shared" ref="B95:AC95" si="66">MIN(100,B96+$B$101)</f>
        <v>27.950568461563503</v>
      </c>
      <c r="C95" s="490">
        <f t="shared" si="66"/>
        <v>27.950568461563503</v>
      </c>
      <c r="D95" s="490">
        <f t="shared" si="66"/>
        <v>27.950568461563503</v>
      </c>
      <c r="E95" s="490">
        <f t="shared" si="66"/>
        <v>27.950568461563503</v>
      </c>
      <c r="F95" s="490">
        <f t="shared" si="66"/>
        <v>27.950568461563503</v>
      </c>
      <c r="G95" s="490">
        <f t="shared" si="66"/>
        <v>35.950568461563506</v>
      </c>
      <c r="H95" s="490">
        <f t="shared" si="66"/>
        <v>37.950568461563506</v>
      </c>
      <c r="I95" s="490">
        <f t="shared" si="66"/>
        <v>37.950568461563506</v>
      </c>
      <c r="J95" s="490">
        <f t="shared" si="66"/>
        <v>47.950568461563506</v>
      </c>
      <c r="K95" s="490">
        <f t="shared" si="66"/>
        <v>72.950568461563506</v>
      </c>
      <c r="L95" s="490">
        <f t="shared" si="66"/>
        <v>97.950568461563506</v>
      </c>
      <c r="M95" s="490">
        <f t="shared" si="66"/>
        <v>100</v>
      </c>
      <c r="N95" s="490">
        <f t="shared" si="66"/>
        <v>100</v>
      </c>
      <c r="O95" s="490">
        <f t="shared" si="66"/>
        <v>100</v>
      </c>
      <c r="P95" s="490">
        <f t="shared" si="66"/>
        <v>100</v>
      </c>
      <c r="Q95" s="490">
        <f t="shared" si="66"/>
        <v>100</v>
      </c>
      <c r="R95" s="490">
        <f t="shared" si="66"/>
        <v>100</v>
      </c>
      <c r="S95" s="490">
        <f t="shared" si="66"/>
        <v>100</v>
      </c>
      <c r="T95" s="490">
        <f t="shared" si="66"/>
        <v>100</v>
      </c>
      <c r="U95" s="490">
        <f t="shared" si="66"/>
        <v>100</v>
      </c>
      <c r="V95" s="490">
        <f t="shared" si="66"/>
        <v>100</v>
      </c>
      <c r="W95" s="490">
        <f t="shared" si="66"/>
        <v>100</v>
      </c>
      <c r="X95" s="490">
        <f t="shared" si="66"/>
        <v>100</v>
      </c>
      <c r="Y95" s="490">
        <f t="shared" si="66"/>
        <v>100</v>
      </c>
      <c r="Z95" s="490">
        <f t="shared" si="66"/>
        <v>100</v>
      </c>
      <c r="AA95" s="490">
        <f t="shared" si="66"/>
        <v>100</v>
      </c>
      <c r="AB95" s="491">
        <f t="shared" si="66"/>
        <v>98.950568461563506</v>
      </c>
      <c r="AC95" s="492">
        <f t="shared" si="66"/>
        <v>27.950568461563503</v>
      </c>
      <c r="AF95" s="7"/>
      <c r="AG95" s="99"/>
      <c r="AH95" s="99"/>
      <c r="AI95" s="99"/>
      <c r="AJ95" s="7"/>
      <c r="AK95" s="7"/>
    </row>
    <row r="96" spans="1:46" s="85" customFormat="1" x14ac:dyDescent="0.2">
      <c r="A96" s="489" t="s">
        <v>220</v>
      </c>
      <c r="B96" s="493">
        <v>10</v>
      </c>
      <c r="C96" s="493">
        <v>10</v>
      </c>
      <c r="D96" s="493">
        <v>10</v>
      </c>
      <c r="E96" s="493">
        <v>10</v>
      </c>
      <c r="F96" s="493">
        <v>10</v>
      </c>
      <c r="G96" s="493">
        <v>18</v>
      </c>
      <c r="H96" s="493">
        <v>20</v>
      </c>
      <c r="I96" s="493">
        <v>20</v>
      </c>
      <c r="J96" s="493">
        <v>30</v>
      </c>
      <c r="K96" s="493">
        <v>55</v>
      </c>
      <c r="L96" s="493">
        <v>80</v>
      </c>
      <c r="M96" s="493">
        <v>85</v>
      </c>
      <c r="N96" s="493">
        <v>85</v>
      </c>
      <c r="O96" s="493">
        <v>85</v>
      </c>
      <c r="P96" s="493">
        <v>85</v>
      </c>
      <c r="Q96" s="493">
        <v>85</v>
      </c>
      <c r="R96" s="493">
        <v>100</v>
      </c>
      <c r="S96" s="493">
        <v>100</v>
      </c>
      <c r="T96" s="493">
        <v>100</v>
      </c>
      <c r="U96" s="493">
        <v>100</v>
      </c>
      <c r="V96" s="493">
        <v>100</v>
      </c>
      <c r="W96" s="493">
        <v>100</v>
      </c>
      <c r="X96" s="493">
        <v>94</v>
      </c>
      <c r="Y96" s="493">
        <v>91</v>
      </c>
      <c r="Z96" s="493">
        <v>85</v>
      </c>
      <c r="AA96" s="493">
        <v>84</v>
      </c>
      <c r="AB96" s="494">
        <v>81</v>
      </c>
      <c r="AC96" s="495">
        <v>10</v>
      </c>
      <c r="AF96" s="7"/>
      <c r="AG96" s="7"/>
      <c r="AH96" s="7"/>
      <c r="AI96" s="7"/>
      <c r="AJ96" s="7"/>
      <c r="AK96" s="99"/>
    </row>
    <row r="97" spans="1:37" s="85" customFormat="1" x14ac:dyDescent="0.2">
      <c r="A97" s="489" t="s">
        <v>221</v>
      </c>
      <c r="B97" s="490">
        <f t="shared" ref="B97:AC97" si="67">MIN(80,IF(B13="Deploy",80,MAX(0,B96-$B$101)))</f>
        <v>0</v>
      </c>
      <c r="C97" s="490">
        <f t="shared" si="67"/>
        <v>0</v>
      </c>
      <c r="D97" s="490">
        <f t="shared" si="67"/>
        <v>0</v>
      </c>
      <c r="E97" s="490">
        <f t="shared" si="67"/>
        <v>0</v>
      </c>
      <c r="F97" s="490">
        <f t="shared" si="67"/>
        <v>0</v>
      </c>
      <c r="G97" s="490">
        <f t="shared" si="67"/>
        <v>4.9431538436497391E-2</v>
      </c>
      <c r="H97" s="490">
        <f t="shared" si="67"/>
        <v>2.0494315384364974</v>
      </c>
      <c r="I97" s="490">
        <f t="shared" si="67"/>
        <v>2.0494315384364974</v>
      </c>
      <c r="J97" s="490">
        <f t="shared" si="67"/>
        <v>12.049431538436497</v>
      </c>
      <c r="K97" s="490">
        <f t="shared" si="67"/>
        <v>37.049431538436494</v>
      </c>
      <c r="L97" s="490">
        <f t="shared" si="67"/>
        <v>62.049431538436494</v>
      </c>
      <c r="M97" s="490">
        <f t="shared" si="67"/>
        <v>67.049431538436494</v>
      </c>
      <c r="N97" s="490">
        <f t="shared" si="67"/>
        <v>67.049431538436494</v>
      </c>
      <c r="O97" s="490">
        <f t="shared" si="67"/>
        <v>67.049431538436494</v>
      </c>
      <c r="P97" s="490">
        <f t="shared" si="67"/>
        <v>67.049431538436494</v>
      </c>
      <c r="Q97" s="490">
        <f t="shared" si="67"/>
        <v>67.049431538436494</v>
      </c>
      <c r="R97" s="490">
        <f t="shared" si="67"/>
        <v>80</v>
      </c>
      <c r="S97" s="490">
        <f t="shared" si="67"/>
        <v>80</v>
      </c>
      <c r="T97" s="490">
        <f t="shared" si="67"/>
        <v>80</v>
      </c>
      <c r="U97" s="490">
        <f t="shared" si="67"/>
        <v>80</v>
      </c>
      <c r="V97" s="490">
        <f t="shared" si="67"/>
        <v>80</v>
      </c>
      <c r="W97" s="490">
        <f t="shared" si="67"/>
        <v>80</v>
      </c>
      <c r="X97" s="490">
        <f t="shared" si="67"/>
        <v>76.049431538436494</v>
      </c>
      <c r="Y97" s="490">
        <f t="shared" si="67"/>
        <v>73.049431538436494</v>
      </c>
      <c r="Z97" s="490">
        <f t="shared" si="67"/>
        <v>67.049431538436494</v>
      </c>
      <c r="AA97" s="490">
        <f t="shared" si="67"/>
        <v>66.049431538436494</v>
      </c>
      <c r="AB97" s="491">
        <f t="shared" si="67"/>
        <v>63.049431538436494</v>
      </c>
      <c r="AC97" s="492">
        <f t="shared" si="67"/>
        <v>0</v>
      </c>
      <c r="AF97" s="99"/>
      <c r="AG97" s="7"/>
      <c r="AH97" s="7"/>
      <c r="AI97" s="7"/>
      <c r="AJ97" s="99"/>
      <c r="AK97" s="7"/>
    </row>
    <row r="98" spans="1:37" s="85" customFormat="1" ht="13.5" thickBot="1" x14ac:dyDescent="0.25">
      <c r="A98" s="496" t="s">
        <v>222</v>
      </c>
      <c r="B98" s="497">
        <f t="shared" ref="B98:AC98" si="68">MIN(60,IF(B14="Deploy",60,MAX(0,B96-$B$100)))</f>
        <v>0</v>
      </c>
      <c r="C98" s="497">
        <f t="shared" si="68"/>
        <v>0</v>
      </c>
      <c r="D98" s="497">
        <f t="shared" si="68"/>
        <v>0</v>
      </c>
      <c r="E98" s="497">
        <f t="shared" si="68"/>
        <v>0</v>
      </c>
      <c r="F98" s="497">
        <f t="shared" si="68"/>
        <v>0</v>
      </c>
      <c r="G98" s="497">
        <f t="shared" si="68"/>
        <v>0</v>
      </c>
      <c r="H98" s="497">
        <f t="shared" si="68"/>
        <v>0</v>
      </c>
      <c r="I98" s="497">
        <f t="shared" si="68"/>
        <v>0</v>
      </c>
      <c r="J98" s="497">
        <f t="shared" si="68"/>
        <v>0</v>
      </c>
      <c r="K98" s="497">
        <f t="shared" si="68"/>
        <v>19.098863076872995</v>
      </c>
      <c r="L98" s="497">
        <f t="shared" si="68"/>
        <v>44.098863076872995</v>
      </c>
      <c r="M98" s="497">
        <f t="shared" si="68"/>
        <v>49.098863076872995</v>
      </c>
      <c r="N98" s="497">
        <f t="shared" si="68"/>
        <v>49.098863076872995</v>
      </c>
      <c r="O98" s="497">
        <f t="shared" si="68"/>
        <v>49.098863076872995</v>
      </c>
      <c r="P98" s="497">
        <f t="shared" si="68"/>
        <v>49.098863076872995</v>
      </c>
      <c r="Q98" s="497">
        <f t="shared" si="68"/>
        <v>49.098863076872995</v>
      </c>
      <c r="R98" s="497">
        <f t="shared" si="68"/>
        <v>60</v>
      </c>
      <c r="S98" s="497">
        <f t="shared" si="68"/>
        <v>60</v>
      </c>
      <c r="T98" s="497">
        <f t="shared" si="68"/>
        <v>60</v>
      </c>
      <c r="U98" s="497">
        <f t="shared" si="68"/>
        <v>60</v>
      </c>
      <c r="V98" s="497">
        <f t="shared" si="68"/>
        <v>60</v>
      </c>
      <c r="W98" s="497">
        <f t="shared" si="68"/>
        <v>60</v>
      </c>
      <c r="X98" s="497">
        <f t="shared" si="68"/>
        <v>58.098863076872995</v>
      </c>
      <c r="Y98" s="497">
        <f t="shared" si="68"/>
        <v>55.098863076872995</v>
      </c>
      <c r="Z98" s="497">
        <f t="shared" si="68"/>
        <v>49.098863076872995</v>
      </c>
      <c r="AA98" s="497">
        <f t="shared" si="68"/>
        <v>48.098863076872995</v>
      </c>
      <c r="AB98" s="498">
        <f t="shared" si="68"/>
        <v>45.098863076872995</v>
      </c>
      <c r="AC98" s="499">
        <f t="shared" si="68"/>
        <v>0</v>
      </c>
      <c r="AF98" s="99"/>
      <c r="AG98" s="7"/>
      <c r="AH98" s="7"/>
      <c r="AI98" s="7"/>
      <c r="AJ98" s="99"/>
      <c r="AK98" s="7"/>
    </row>
    <row r="99" spans="1:37" ht="13.5" thickBot="1" x14ac:dyDescent="0.25">
      <c r="A99" s="144" t="s">
        <v>223</v>
      </c>
      <c r="B99" s="145">
        <v>37</v>
      </c>
      <c r="C99" s="145">
        <v>37</v>
      </c>
      <c r="D99" s="145">
        <v>37</v>
      </c>
      <c r="E99" s="145">
        <v>37</v>
      </c>
      <c r="F99" s="145">
        <v>37</v>
      </c>
      <c r="G99" s="145">
        <v>37</v>
      </c>
      <c r="H99" s="145">
        <v>46</v>
      </c>
      <c r="I99" s="145">
        <v>54</v>
      </c>
      <c r="J99" s="145">
        <v>61</v>
      </c>
      <c r="K99" s="145">
        <v>63</v>
      </c>
      <c r="L99" s="145">
        <v>75</v>
      </c>
      <c r="M99" s="145">
        <v>85</v>
      </c>
      <c r="N99" s="145">
        <v>85</v>
      </c>
      <c r="O99" s="145">
        <v>85</v>
      </c>
      <c r="P99" s="145">
        <v>85</v>
      </c>
      <c r="Q99" s="145">
        <v>85</v>
      </c>
      <c r="R99" s="145">
        <v>100</v>
      </c>
      <c r="S99" s="145">
        <v>100</v>
      </c>
      <c r="T99" s="145">
        <v>100</v>
      </c>
      <c r="U99" s="145">
        <v>100</v>
      </c>
      <c r="V99" s="145">
        <v>100</v>
      </c>
      <c r="W99" s="145">
        <v>100</v>
      </c>
      <c r="X99" s="145">
        <v>94</v>
      </c>
      <c r="Y99" s="145">
        <v>91</v>
      </c>
      <c r="Z99" s="145">
        <v>85</v>
      </c>
      <c r="AA99" s="145">
        <v>84</v>
      </c>
      <c r="AB99" s="146">
        <v>81</v>
      </c>
      <c r="AC99" s="147">
        <v>37</v>
      </c>
    </row>
    <row r="100" spans="1:37" s="99" customFormat="1" x14ac:dyDescent="0.2">
      <c r="A100" s="123" t="s">
        <v>224</v>
      </c>
      <c r="B100" s="124">
        <f t="array" ref="B100">SQRT(SUM(POWER(AVERAGE(B96:AB96)-(B96:AB96),2))/COUNT(B96:AB96))*1</f>
        <v>35.901136923127005</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85"/>
      <c r="AE100" s="85"/>
      <c r="AF100" s="7"/>
      <c r="AG100" s="7"/>
      <c r="AH100" s="7"/>
      <c r="AI100" s="7"/>
      <c r="AJ100" s="7"/>
      <c r="AK100" s="7"/>
    </row>
    <row r="101" spans="1:37" ht="13.5" thickBot="1" x14ac:dyDescent="0.25">
      <c r="A101" s="500" t="s">
        <v>225</v>
      </c>
      <c r="B101" s="501">
        <f>B100/2</f>
        <v>17.950568461563503</v>
      </c>
    </row>
    <row r="102" spans="1:37" ht="13.5" thickBo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37" ht="13.5" thickBot="1" x14ac:dyDescent="0.25">
      <c r="A103" s="634" t="s">
        <v>226</v>
      </c>
      <c r="B103" s="635"/>
      <c r="C103" s="99"/>
      <c r="D103" s="125"/>
      <c r="E103" s="125"/>
      <c r="F103" s="125"/>
      <c r="G103" s="125"/>
      <c r="H103" s="125"/>
      <c r="I103" s="99"/>
      <c r="J103" s="99"/>
      <c r="K103" s="99"/>
      <c r="L103" s="99"/>
      <c r="M103" s="99"/>
      <c r="N103" s="99"/>
      <c r="O103" s="99"/>
      <c r="P103" s="99"/>
      <c r="Q103" s="99"/>
      <c r="R103" s="99"/>
      <c r="S103" s="99"/>
      <c r="T103" s="99"/>
      <c r="U103" s="99"/>
      <c r="V103" s="99"/>
      <c r="W103" s="99"/>
      <c r="X103" s="99"/>
      <c r="Y103" s="99"/>
      <c r="Z103" s="99"/>
      <c r="AA103" s="99"/>
      <c r="AB103" s="99"/>
      <c r="AC103" s="99"/>
    </row>
    <row r="104" spans="1:37" ht="13.5" thickBot="1" x14ac:dyDescent="0.25">
      <c r="A104" s="636" t="s">
        <v>227</v>
      </c>
      <c r="B104" s="637"/>
      <c r="C104" s="99"/>
      <c r="D104" s="125"/>
      <c r="E104" s="125"/>
      <c r="F104" s="125"/>
      <c r="G104" s="125"/>
      <c r="H104" s="125"/>
      <c r="I104" s="99"/>
      <c r="J104" s="99"/>
      <c r="K104" s="99"/>
      <c r="L104" s="99"/>
      <c r="M104" s="99"/>
      <c r="N104" s="99"/>
      <c r="O104" s="99"/>
      <c r="P104" s="99"/>
      <c r="Q104" s="99"/>
      <c r="R104" s="99"/>
      <c r="S104" s="99"/>
      <c r="T104" s="99"/>
      <c r="U104" s="99"/>
      <c r="V104" s="99"/>
      <c r="W104" s="99"/>
      <c r="X104" s="99"/>
      <c r="Y104" s="99"/>
      <c r="Z104" s="99"/>
      <c r="AA104" s="99"/>
      <c r="AB104" s="99"/>
      <c r="AC104" s="99"/>
    </row>
    <row r="105" spans="1:37" ht="13.5" thickTop="1" x14ac:dyDescent="0.2">
      <c r="A105" s="21" t="s">
        <v>228</v>
      </c>
      <c r="B105" s="22">
        <v>13</v>
      </c>
      <c r="D105" s="23"/>
      <c r="E105" s="24"/>
      <c r="H105" s="20"/>
    </row>
    <row r="106" spans="1:37" x14ac:dyDescent="0.2">
      <c r="A106" s="502" t="s">
        <v>229</v>
      </c>
      <c r="B106" s="503">
        <v>7</v>
      </c>
      <c r="D106" s="23"/>
      <c r="E106" s="25"/>
      <c r="H106" s="20"/>
      <c r="AK106" s="99"/>
    </row>
    <row r="107" spans="1:37" x14ac:dyDescent="0.2">
      <c r="A107" s="21" t="s">
        <v>230</v>
      </c>
      <c r="B107" s="22">
        <v>13</v>
      </c>
      <c r="D107" s="23"/>
      <c r="E107" s="23"/>
      <c r="H107" s="20"/>
      <c r="AG107" s="99"/>
      <c r="AH107" s="99"/>
      <c r="AI107" s="99"/>
      <c r="AK107" s="99"/>
    </row>
    <row r="108" spans="1:37" x14ac:dyDescent="0.2">
      <c r="A108" s="502" t="s">
        <v>231</v>
      </c>
      <c r="B108" s="503">
        <v>7</v>
      </c>
      <c r="D108" s="23"/>
      <c r="E108" s="23"/>
      <c r="H108" s="20"/>
    </row>
    <row r="109" spans="1:37" x14ac:dyDescent="0.2">
      <c r="A109" s="502" t="s">
        <v>232</v>
      </c>
      <c r="B109" s="504" t="s">
        <v>200</v>
      </c>
      <c r="D109" s="15"/>
      <c r="E109" s="157"/>
      <c r="F109" s="20"/>
      <c r="H109" s="20"/>
    </row>
    <row r="110" spans="1:37" s="99" customFormat="1" x14ac:dyDescent="0.2">
      <c r="A110" s="502" t="s">
        <v>233</v>
      </c>
      <c r="B110" s="504">
        <v>7</v>
      </c>
      <c r="C110" s="7"/>
      <c r="D110" s="15"/>
      <c r="E110" s="157"/>
      <c r="F110" s="20"/>
      <c r="G110" s="7"/>
      <c r="H110" s="20"/>
      <c r="I110" s="7"/>
      <c r="J110" s="7"/>
      <c r="K110" s="7"/>
      <c r="L110" s="7"/>
      <c r="M110" s="7"/>
      <c r="N110" s="7"/>
      <c r="O110" s="7"/>
      <c r="P110" s="7"/>
      <c r="Q110" s="7"/>
      <c r="R110" s="7"/>
      <c r="S110" s="7"/>
      <c r="T110" s="7"/>
      <c r="U110" s="7"/>
      <c r="V110" s="7"/>
      <c r="W110" s="7"/>
      <c r="X110" s="7"/>
      <c r="Y110" s="7"/>
      <c r="Z110" s="7"/>
      <c r="AA110" s="7"/>
      <c r="AB110" s="7"/>
      <c r="AC110" s="7"/>
      <c r="AD110" s="85"/>
      <c r="AE110" s="85"/>
      <c r="AG110" s="7"/>
      <c r="AH110" s="7"/>
      <c r="AI110" s="7"/>
      <c r="AK110" s="7"/>
    </row>
    <row r="111" spans="1:37" s="99" customFormat="1" x14ac:dyDescent="0.2">
      <c r="A111" s="502" t="s">
        <v>234</v>
      </c>
      <c r="B111" s="504">
        <v>13</v>
      </c>
      <c r="C111" s="7"/>
      <c r="D111" s="15"/>
      <c r="E111" s="157"/>
      <c r="F111" s="20"/>
      <c r="G111" s="7"/>
      <c r="H111" s="20"/>
      <c r="I111" s="7"/>
      <c r="J111" s="7"/>
      <c r="K111" s="7"/>
      <c r="L111" s="7"/>
      <c r="M111" s="7"/>
      <c r="N111" s="7"/>
      <c r="O111" s="7"/>
      <c r="P111" s="7"/>
      <c r="Q111" s="7"/>
      <c r="R111" s="7"/>
      <c r="S111" s="7"/>
      <c r="T111" s="7"/>
      <c r="U111" s="7"/>
      <c r="V111" s="7"/>
      <c r="W111" s="7"/>
      <c r="X111" s="7"/>
      <c r="Y111" s="7"/>
      <c r="Z111" s="7"/>
      <c r="AA111" s="7"/>
      <c r="AB111" s="7"/>
      <c r="AC111" s="7"/>
      <c r="AD111" s="85"/>
      <c r="AE111" s="85"/>
      <c r="AF111" s="7"/>
      <c r="AG111" s="7"/>
      <c r="AH111" s="7"/>
      <c r="AI111" s="7"/>
      <c r="AJ111" s="7"/>
      <c r="AK111" s="7"/>
    </row>
    <row r="112" spans="1:37" x14ac:dyDescent="0.2">
      <c r="A112" s="502" t="s">
        <v>235</v>
      </c>
      <c r="B112" s="503">
        <v>20</v>
      </c>
      <c r="D112" s="15"/>
      <c r="E112" s="157"/>
      <c r="F112" s="20"/>
      <c r="H112" s="20"/>
    </row>
    <row r="113" spans="1:37" x14ac:dyDescent="0.2">
      <c r="A113" s="502" t="s">
        <v>236</v>
      </c>
      <c r="B113" s="505">
        <v>1</v>
      </c>
      <c r="D113" s="15"/>
      <c r="E113" s="157"/>
      <c r="F113" s="99"/>
      <c r="G113" s="99"/>
      <c r="H113" s="20"/>
    </row>
    <row r="114" spans="1:37" x14ac:dyDescent="0.2">
      <c r="A114" s="502" t="s">
        <v>237</v>
      </c>
      <c r="B114" s="506">
        <v>20</v>
      </c>
      <c r="C114" s="99"/>
      <c r="D114" s="15"/>
      <c r="E114" s="157"/>
      <c r="F114" s="20"/>
      <c r="H114" s="125"/>
      <c r="I114" s="99"/>
      <c r="J114" s="99"/>
      <c r="K114" s="99"/>
      <c r="L114" s="99"/>
      <c r="M114" s="99"/>
      <c r="N114" s="99"/>
      <c r="O114" s="99"/>
      <c r="P114" s="99"/>
      <c r="Q114" s="99"/>
      <c r="R114" s="99"/>
      <c r="S114" s="99"/>
      <c r="T114" s="99"/>
      <c r="U114" s="99"/>
      <c r="V114" s="99"/>
      <c r="W114" s="99"/>
      <c r="X114" s="99"/>
      <c r="Y114" s="99"/>
      <c r="Z114" s="99"/>
      <c r="AA114" s="99"/>
      <c r="AB114" s="127"/>
      <c r="AC114" s="127"/>
    </row>
    <row r="115" spans="1:37" x14ac:dyDescent="0.2">
      <c r="A115" s="502" t="s">
        <v>238</v>
      </c>
      <c r="B115" s="506">
        <v>20</v>
      </c>
      <c r="D115" s="15"/>
      <c r="E115" s="158"/>
      <c r="F115" s="20"/>
      <c r="G115" s="20"/>
      <c r="H115" s="20"/>
    </row>
    <row r="116" spans="1:37" s="99" customFormat="1" ht="13.5" thickBot="1" x14ac:dyDescent="0.25">
      <c r="A116" s="507" t="s">
        <v>239</v>
      </c>
      <c r="B116" s="508">
        <v>11</v>
      </c>
      <c r="C116" s="7"/>
      <c r="D116" s="7"/>
      <c r="E116" s="7"/>
      <c r="F116" s="7"/>
      <c r="G116" s="20"/>
      <c r="H116" s="20"/>
      <c r="I116" s="7"/>
      <c r="J116" s="7"/>
      <c r="K116" s="7"/>
      <c r="L116" s="7"/>
      <c r="M116" s="7"/>
      <c r="N116" s="7"/>
      <c r="O116" s="7"/>
      <c r="P116" s="7"/>
      <c r="Q116" s="7"/>
      <c r="R116" s="7"/>
      <c r="S116" s="7"/>
      <c r="T116" s="7"/>
      <c r="U116" s="7"/>
      <c r="V116" s="7"/>
      <c r="W116" s="7"/>
      <c r="X116" s="7"/>
      <c r="Y116" s="7"/>
      <c r="Z116" s="7"/>
      <c r="AA116" s="7"/>
      <c r="AB116" s="7"/>
      <c r="AC116" s="7"/>
      <c r="AD116" s="85"/>
      <c r="AE116" s="85"/>
      <c r="AF116" s="7"/>
      <c r="AG116" s="7"/>
      <c r="AH116" s="7"/>
      <c r="AI116" s="7"/>
      <c r="AJ116" s="7"/>
      <c r="AK116" s="7"/>
    </row>
    <row r="117" spans="1:37" ht="13.5" thickBot="1" x14ac:dyDescent="0.25"/>
    <row r="118" spans="1:37" ht="13.5" thickBot="1" x14ac:dyDescent="0.25">
      <c r="A118" s="634" t="s">
        <v>240</v>
      </c>
      <c r="B118" s="635"/>
    </row>
    <row r="119" spans="1:37" x14ac:dyDescent="0.2">
      <c r="A119" s="47" t="s">
        <v>241</v>
      </c>
      <c r="B119" s="48" t="s">
        <v>242</v>
      </c>
      <c r="C119" s="48" t="s">
        <v>242</v>
      </c>
      <c r="D119" s="48" t="s">
        <v>242</v>
      </c>
      <c r="E119" s="48"/>
      <c r="F119" s="48" t="s">
        <v>242</v>
      </c>
      <c r="G119" s="48" t="s">
        <v>242</v>
      </c>
      <c r="H119" s="48" t="s">
        <v>242</v>
      </c>
      <c r="I119" s="48" t="s">
        <v>242</v>
      </c>
      <c r="J119" s="48"/>
      <c r="K119" s="48"/>
      <c r="L119" s="48"/>
      <c r="M119" s="48"/>
      <c r="N119" s="48" t="s">
        <v>242</v>
      </c>
      <c r="O119" s="48" t="s">
        <v>242</v>
      </c>
      <c r="P119" s="48"/>
      <c r="Q119" s="48"/>
      <c r="R119" s="48"/>
      <c r="S119" s="48"/>
      <c r="T119" s="48"/>
      <c r="U119" s="48"/>
      <c r="V119" s="48"/>
      <c r="W119" s="48"/>
      <c r="X119" s="48"/>
      <c r="Y119" s="48" t="s">
        <v>242</v>
      </c>
      <c r="Z119" s="48" t="s">
        <v>242</v>
      </c>
      <c r="AA119" s="48" t="s">
        <v>242</v>
      </c>
      <c r="AB119" s="48" t="s">
        <v>242</v>
      </c>
      <c r="AC119" s="49" t="s">
        <v>242</v>
      </c>
    </row>
    <row r="120" spans="1:37" thickBot="1" x14ac:dyDescent="0.25">
      <c r="A120" s="509" t="s">
        <v>243</v>
      </c>
      <c r="B120" s="510"/>
      <c r="C120" s="510"/>
      <c r="D120" s="510"/>
      <c r="E120" s="510"/>
      <c r="F120" s="510"/>
      <c r="G120" s="510"/>
      <c r="H120" s="510"/>
      <c r="I120" s="510"/>
      <c r="J120" s="510" t="s">
        <v>242</v>
      </c>
      <c r="K120" s="510"/>
      <c r="L120" s="510" t="s">
        <v>242</v>
      </c>
      <c r="M120" s="510" t="s">
        <v>242</v>
      </c>
      <c r="N120" s="510"/>
      <c r="O120" s="510"/>
      <c r="P120" s="510" t="s">
        <v>242</v>
      </c>
      <c r="Q120" s="510"/>
      <c r="R120" s="510" t="s">
        <v>242</v>
      </c>
      <c r="S120" s="510" t="s">
        <v>242</v>
      </c>
      <c r="T120" s="510" t="s">
        <v>242</v>
      </c>
      <c r="U120" s="510" t="s">
        <v>242</v>
      </c>
      <c r="V120" s="510" t="s">
        <v>242</v>
      </c>
      <c r="W120" s="510" t="s">
        <v>242</v>
      </c>
      <c r="X120" s="510"/>
      <c r="Y120" s="510"/>
      <c r="Z120" s="510"/>
      <c r="AA120" s="510"/>
      <c r="AB120" s="510"/>
      <c r="AC120" s="511"/>
      <c r="AD120" s="7"/>
      <c r="AE120" s="7"/>
    </row>
    <row r="121" spans="1:37" thickBot="1" x14ac:dyDescent="0.25">
      <c r="AD121" s="7"/>
      <c r="AE121" s="7"/>
    </row>
    <row r="122" spans="1:37" ht="13.5" thickBot="1" x14ac:dyDescent="0.25">
      <c r="A122" s="634" t="s">
        <v>244</v>
      </c>
      <c r="B122" s="635"/>
      <c r="AD122" s="7"/>
      <c r="AE122" s="7"/>
    </row>
    <row r="123" spans="1:37" ht="13.5" thickBot="1" x14ac:dyDescent="0.25">
      <c r="A123" s="70" t="s">
        <v>184</v>
      </c>
      <c r="B123" s="71" t="s">
        <v>105</v>
      </c>
    </row>
    <row r="124" spans="1:37" x14ac:dyDescent="0.2">
      <c r="A124" s="38" t="s">
        <v>185</v>
      </c>
      <c r="B124" s="240">
        <v>14</v>
      </c>
      <c r="C124" s="241"/>
    </row>
    <row r="125" spans="1:37" x14ac:dyDescent="0.2">
      <c r="A125" s="465" t="s">
        <v>186</v>
      </c>
      <c r="B125" s="529">
        <v>10</v>
      </c>
      <c r="C125" s="241"/>
    </row>
    <row r="126" spans="1:37" x14ac:dyDescent="0.2">
      <c r="A126" s="462" t="s">
        <v>187</v>
      </c>
      <c r="B126" s="529">
        <v>8</v>
      </c>
      <c r="C126" s="241"/>
    </row>
    <row r="127" spans="1:37" x14ac:dyDescent="0.2">
      <c r="A127" s="462" t="s">
        <v>188</v>
      </c>
      <c r="B127" s="529">
        <v>4</v>
      </c>
      <c r="C127" s="241"/>
    </row>
    <row r="128" spans="1:37" x14ac:dyDescent="0.2">
      <c r="A128" s="465" t="s">
        <v>189</v>
      </c>
      <c r="B128" s="529">
        <v>11</v>
      </c>
      <c r="C128" s="241"/>
    </row>
    <row r="129" spans="1:10" x14ac:dyDescent="0.2">
      <c r="A129" s="465" t="s">
        <v>190</v>
      </c>
      <c r="B129" s="529">
        <v>7</v>
      </c>
      <c r="C129" s="241"/>
    </row>
    <row r="130" spans="1:10" x14ac:dyDescent="0.2">
      <c r="A130" s="462" t="s">
        <v>191</v>
      </c>
      <c r="B130" s="529">
        <v>18</v>
      </c>
      <c r="C130" s="241"/>
    </row>
    <row r="131" spans="1:10" x14ac:dyDescent="0.2">
      <c r="A131" s="462" t="s">
        <v>192</v>
      </c>
      <c r="B131" s="529">
        <v>14</v>
      </c>
      <c r="C131" s="241"/>
    </row>
    <row r="132" spans="1:10" x14ac:dyDescent="0.2">
      <c r="A132" s="465" t="s">
        <v>193</v>
      </c>
      <c r="B132" s="529">
        <v>11</v>
      </c>
      <c r="C132" s="241"/>
    </row>
    <row r="133" spans="1:10" x14ac:dyDescent="0.2">
      <c r="A133" s="465" t="s">
        <v>194</v>
      </c>
      <c r="B133" s="529">
        <v>7</v>
      </c>
      <c r="C133" s="241"/>
    </row>
    <row r="134" spans="1:10" x14ac:dyDescent="0.2">
      <c r="A134" s="462" t="s">
        <v>195</v>
      </c>
      <c r="B134" s="529">
        <v>16</v>
      </c>
      <c r="C134" s="241"/>
    </row>
    <row r="135" spans="1:10" ht="13.5" thickBot="1" x14ac:dyDescent="0.25">
      <c r="A135" s="512" t="s">
        <v>196</v>
      </c>
      <c r="B135" s="530">
        <v>12</v>
      </c>
      <c r="C135" s="241"/>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7</v>
      </c>
      <c r="C139" s="515"/>
      <c r="D139" s="516">
        <v>6</v>
      </c>
      <c r="E139" s="516">
        <v>4</v>
      </c>
      <c r="F139" s="517">
        <v>3</v>
      </c>
      <c r="G139" s="518">
        <v>0</v>
      </c>
    </row>
    <row r="140" spans="1:10" x14ac:dyDescent="0.2">
      <c r="A140" s="514" t="s">
        <v>252</v>
      </c>
      <c r="B140" s="515">
        <f>$B$139</f>
        <v>7</v>
      </c>
      <c r="C140" s="515">
        <v>5</v>
      </c>
      <c r="D140" s="516">
        <v>4</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69">$B$139</f>
        <v>7</v>
      </c>
      <c r="C142" s="515">
        <f t="shared" ref="C142" si="70">ROUND(R39,0)</f>
        <v>1</v>
      </c>
      <c r="D142" s="516"/>
      <c r="E142" s="516"/>
      <c r="F142" s="517"/>
      <c r="G142" s="518">
        <v>0</v>
      </c>
    </row>
    <row r="143" spans="1:10" x14ac:dyDescent="0.2">
      <c r="A143" s="514" t="s">
        <v>260</v>
      </c>
      <c r="B143" s="515">
        <f t="shared" si="69"/>
        <v>7</v>
      </c>
      <c r="C143" s="515">
        <f t="shared" ref="C143:C147" si="71">ROUNDDOWN(R40,0)</f>
        <v>4</v>
      </c>
      <c r="D143" s="516">
        <v>3</v>
      </c>
      <c r="E143" s="516">
        <v>3</v>
      </c>
      <c r="F143" s="517">
        <v>2</v>
      </c>
      <c r="G143" s="518">
        <v>0</v>
      </c>
    </row>
    <row r="144" spans="1:10" x14ac:dyDescent="0.2">
      <c r="A144" s="514" t="s">
        <v>261</v>
      </c>
      <c r="B144" s="515">
        <f t="shared" si="69"/>
        <v>7</v>
      </c>
      <c r="C144" s="515">
        <f t="shared" si="71"/>
        <v>4</v>
      </c>
      <c r="D144" s="516">
        <v>3</v>
      </c>
      <c r="E144" s="516">
        <v>3</v>
      </c>
      <c r="F144" s="517">
        <v>2</v>
      </c>
      <c r="G144" s="518">
        <v>0</v>
      </c>
    </row>
    <row r="145" spans="1:7" x14ac:dyDescent="0.2">
      <c r="A145" s="531" t="s">
        <v>262</v>
      </c>
      <c r="B145" s="515">
        <f t="shared" si="69"/>
        <v>7</v>
      </c>
      <c r="C145" s="515">
        <f t="shared" si="71"/>
        <v>4</v>
      </c>
      <c r="D145" s="516">
        <v>3</v>
      </c>
      <c r="E145" s="516">
        <v>3</v>
      </c>
      <c r="F145" s="517">
        <v>2</v>
      </c>
      <c r="G145" s="518">
        <v>0</v>
      </c>
    </row>
    <row r="146" spans="1:7" x14ac:dyDescent="0.2">
      <c r="A146" s="514" t="s">
        <v>263</v>
      </c>
      <c r="B146" s="515">
        <f t="shared" si="69"/>
        <v>7</v>
      </c>
      <c r="C146" s="515">
        <f t="shared" si="71"/>
        <v>4</v>
      </c>
      <c r="D146" s="516">
        <v>3</v>
      </c>
      <c r="E146" s="516">
        <v>3</v>
      </c>
      <c r="F146" s="517">
        <v>2</v>
      </c>
      <c r="G146" s="518">
        <v>0</v>
      </c>
    </row>
    <row r="147" spans="1:7" x14ac:dyDescent="0.2">
      <c r="A147" s="514" t="s">
        <v>264</v>
      </c>
      <c r="B147" s="515">
        <f t="shared" si="69"/>
        <v>7</v>
      </c>
      <c r="C147" s="515">
        <f t="shared" si="71"/>
        <v>5</v>
      </c>
      <c r="D147" s="516">
        <v>4</v>
      </c>
      <c r="E147" s="516">
        <v>3</v>
      </c>
      <c r="F147" s="517">
        <v>2</v>
      </c>
      <c r="G147" s="518">
        <v>0</v>
      </c>
    </row>
    <row r="148" spans="1:7" x14ac:dyDescent="0.2">
      <c r="A148" s="514" t="s">
        <v>265</v>
      </c>
      <c r="B148" s="515">
        <f t="shared" si="69"/>
        <v>7</v>
      </c>
      <c r="C148" s="515">
        <f>ROUNDDOWN(R45,0)</f>
        <v>4</v>
      </c>
      <c r="D148" s="516">
        <v>3</v>
      </c>
      <c r="E148" s="516">
        <v>3</v>
      </c>
      <c r="F148" s="517">
        <v>2</v>
      </c>
      <c r="G148" s="518">
        <v>0</v>
      </c>
    </row>
    <row r="149" spans="1:7" x14ac:dyDescent="0.2">
      <c r="A149" s="514" t="s">
        <v>266</v>
      </c>
      <c r="B149" s="515">
        <f t="shared" si="69"/>
        <v>7</v>
      </c>
      <c r="C149" s="515">
        <f t="shared" ref="C149:G149" si="72">C140</f>
        <v>5</v>
      </c>
      <c r="D149" s="516">
        <f t="shared" si="72"/>
        <v>4</v>
      </c>
      <c r="E149" s="516">
        <f t="shared" si="72"/>
        <v>3</v>
      </c>
      <c r="F149" s="517">
        <f t="shared" si="72"/>
        <v>2</v>
      </c>
      <c r="G149" s="518">
        <f t="shared" si="72"/>
        <v>0</v>
      </c>
    </row>
    <row r="150" spans="1:7" x14ac:dyDescent="0.2">
      <c r="A150" s="519" t="s">
        <v>267</v>
      </c>
      <c r="B150" s="515">
        <f t="shared" si="69"/>
        <v>7</v>
      </c>
      <c r="C150" s="515">
        <f t="shared" ref="C150:G150" si="73">C140</f>
        <v>5</v>
      </c>
      <c r="D150" s="516">
        <f t="shared" si="73"/>
        <v>4</v>
      </c>
      <c r="E150" s="516">
        <f t="shared" si="73"/>
        <v>3</v>
      </c>
      <c r="F150" s="517">
        <f t="shared" si="73"/>
        <v>2</v>
      </c>
      <c r="G150" s="518">
        <f t="shared" si="73"/>
        <v>0</v>
      </c>
    </row>
    <row r="151" spans="1:7" x14ac:dyDescent="0.2">
      <c r="A151" s="513" t="s">
        <v>179</v>
      </c>
      <c r="B151" s="195"/>
      <c r="C151" s="196"/>
      <c r="D151" s="196"/>
      <c r="E151" s="196"/>
      <c r="F151" s="196"/>
      <c r="G151" s="197"/>
    </row>
    <row r="152" spans="1:7" x14ac:dyDescent="0.2">
      <c r="A152" s="514" t="s">
        <v>180</v>
      </c>
      <c r="B152" s="515">
        <f>R49</f>
        <v>24</v>
      </c>
      <c r="C152" s="515"/>
      <c r="D152" s="516">
        <f>B152-1</f>
        <v>23</v>
      </c>
      <c r="E152" s="516">
        <f>1+F152</f>
        <v>10</v>
      </c>
      <c r="F152" s="517">
        <f>MAX(F49,1)</f>
        <v>9</v>
      </c>
      <c r="G152" s="198">
        <v>0</v>
      </c>
    </row>
    <row r="153" spans="1:7" x14ac:dyDescent="0.2">
      <c r="A153" s="514" t="s">
        <v>148</v>
      </c>
      <c r="B153" s="515">
        <f>B152</f>
        <v>24</v>
      </c>
      <c r="C153" s="515">
        <f>R50</f>
        <v>20</v>
      </c>
      <c r="D153" s="520">
        <f>C153-1</f>
        <v>19</v>
      </c>
      <c r="E153" s="516">
        <f t="shared" ref="E153:E167" si="74">1+F153</f>
        <v>9</v>
      </c>
      <c r="F153" s="517">
        <f>MAX(F50,1)</f>
        <v>8</v>
      </c>
      <c r="G153" s="198">
        <v>0</v>
      </c>
    </row>
    <row r="154" spans="1:7" x14ac:dyDescent="0.2">
      <c r="A154" s="514" t="s">
        <v>182</v>
      </c>
      <c r="B154" s="515">
        <f>R51</f>
        <v>26</v>
      </c>
      <c r="C154" s="515"/>
      <c r="D154" s="516">
        <f>B154-1</f>
        <v>25</v>
      </c>
      <c r="E154" s="516">
        <f t="shared" si="74"/>
        <v>10</v>
      </c>
      <c r="F154" s="517">
        <f>MAX(F51,1)</f>
        <v>9</v>
      </c>
      <c r="G154" s="198">
        <v>0</v>
      </c>
    </row>
    <row r="155" spans="1:7" x14ac:dyDescent="0.2">
      <c r="A155" s="514" t="s">
        <v>152</v>
      </c>
      <c r="B155" s="515">
        <f>B154</f>
        <v>26</v>
      </c>
      <c r="C155" s="515">
        <f>R52</f>
        <v>20</v>
      </c>
      <c r="D155" s="520">
        <f>C155-1</f>
        <v>19</v>
      </c>
      <c r="E155" s="516">
        <f t="shared" si="74"/>
        <v>9</v>
      </c>
      <c r="F155" s="517">
        <f>MAX(F52,1)</f>
        <v>8</v>
      </c>
      <c r="G155" s="198">
        <v>0</v>
      </c>
    </row>
    <row r="156" spans="1:7" x14ac:dyDescent="0.2">
      <c r="A156" s="514" t="s">
        <v>253</v>
      </c>
      <c r="B156" s="521">
        <f>R54</f>
        <v>14</v>
      </c>
      <c r="C156" s="515"/>
      <c r="D156" s="516">
        <f>B156-1</f>
        <v>13</v>
      </c>
      <c r="E156" s="516">
        <f t="shared" si="74"/>
        <v>6</v>
      </c>
      <c r="F156" s="517">
        <f t="shared" ref="F156:F167" si="75">MAX(F54,1)</f>
        <v>5</v>
      </c>
      <c r="G156" s="198">
        <v>0</v>
      </c>
    </row>
    <row r="157" spans="1:7" x14ac:dyDescent="0.2">
      <c r="A157" s="514" t="s">
        <v>186</v>
      </c>
      <c r="B157" s="521">
        <f>B156</f>
        <v>14</v>
      </c>
      <c r="C157" s="515">
        <f>R55</f>
        <v>10</v>
      </c>
      <c r="D157" s="520">
        <f>C157-1</f>
        <v>9</v>
      </c>
      <c r="E157" s="516">
        <f t="shared" si="74"/>
        <v>5</v>
      </c>
      <c r="F157" s="517">
        <f t="shared" si="75"/>
        <v>4</v>
      </c>
      <c r="G157" s="198">
        <v>0</v>
      </c>
    </row>
    <row r="158" spans="1:7" x14ac:dyDescent="0.2">
      <c r="A158" s="514" t="s">
        <v>187</v>
      </c>
      <c r="B158" s="521">
        <f>R56</f>
        <v>8</v>
      </c>
      <c r="C158" s="515"/>
      <c r="D158" s="516">
        <f>B158-1</f>
        <v>7</v>
      </c>
      <c r="E158" s="516">
        <f t="shared" si="74"/>
        <v>2</v>
      </c>
      <c r="F158" s="517">
        <f t="shared" si="75"/>
        <v>1</v>
      </c>
      <c r="G158" s="198">
        <v>0</v>
      </c>
    </row>
    <row r="159" spans="1:7" x14ac:dyDescent="0.2">
      <c r="A159" s="514" t="s">
        <v>188</v>
      </c>
      <c r="B159" s="521">
        <f>B158</f>
        <v>8</v>
      </c>
      <c r="C159" s="515">
        <f>R57</f>
        <v>4</v>
      </c>
      <c r="D159" s="520">
        <f>C159-1</f>
        <v>3</v>
      </c>
      <c r="E159" s="516">
        <f t="shared" si="74"/>
        <v>2</v>
      </c>
      <c r="F159" s="517">
        <f t="shared" si="75"/>
        <v>1</v>
      </c>
      <c r="G159" s="198">
        <v>0</v>
      </c>
    </row>
    <row r="160" spans="1:7" x14ac:dyDescent="0.2">
      <c r="A160" s="514" t="s">
        <v>189</v>
      </c>
      <c r="B160" s="521">
        <f>R58</f>
        <v>11</v>
      </c>
      <c r="C160" s="515"/>
      <c r="D160" s="516">
        <f>B160-1</f>
        <v>10</v>
      </c>
      <c r="E160" s="516">
        <f t="shared" si="74"/>
        <v>2</v>
      </c>
      <c r="F160" s="517">
        <f t="shared" si="75"/>
        <v>1</v>
      </c>
      <c r="G160" s="198">
        <v>0</v>
      </c>
    </row>
    <row r="161" spans="1:7" x14ac:dyDescent="0.2">
      <c r="A161" s="514" t="s">
        <v>190</v>
      </c>
      <c r="B161" s="521">
        <f>B160</f>
        <v>11</v>
      </c>
      <c r="C161" s="515">
        <f>R59</f>
        <v>7</v>
      </c>
      <c r="D161" s="520">
        <f>C161-1</f>
        <v>6</v>
      </c>
      <c r="E161" s="516">
        <f t="shared" si="74"/>
        <v>2</v>
      </c>
      <c r="F161" s="517">
        <f t="shared" si="75"/>
        <v>1</v>
      </c>
      <c r="G161" s="198">
        <v>0</v>
      </c>
    </row>
    <row r="162" spans="1:7" x14ac:dyDescent="0.2">
      <c r="A162" s="514" t="s">
        <v>191</v>
      </c>
      <c r="B162" s="521">
        <f>R60</f>
        <v>18</v>
      </c>
      <c r="C162" s="515"/>
      <c r="D162" s="516">
        <f>B162-1</f>
        <v>17</v>
      </c>
      <c r="E162" s="516">
        <f t="shared" si="74"/>
        <v>6</v>
      </c>
      <c r="F162" s="517">
        <f t="shared" si="75"/>
        <v>5</v>
      </c>
      <c r="G162" s="198">
        <v>0</v>
      </c>
    </row>
    <row r="163" spans="1:7" x14ac:dyDescent="0.2">
      <c r="A163" s="514" t="s">
        <v>192</v>
      </c>
      <c r="B163" s="521">
        <f>B162</f>
        <v>18</v>
      </c>
      <c r="C163" s="515">
        <f>R61</f>
        <v>14</v>
      </c>
      <c r="D163" s="520">
        <f>C163-1</f>
        <v>13</v>
      </c>
      <c r="E163" s="516">
        <f t="shared" si="74"/>
        <v>5</v>
      </c>
      <c r="F163" s="517">
        <f t="shared" si="75"/>
        <v>4</v>
      </c>
      <c r="G163" s="198">
        <v>0</v>
      </c>
    </row>
    <row r="164" spans="1:7" x14ac:dyDescent="0.2">
      <c r="A164" s="514" t="s">
        <v>193</v>
      </c>
      <c r="B164" s="521">
        <f>R62</f>
        <v>11</v>
      </c>
      <c r="C164" s="515"/>
      <c r="D164" s="516">
        <f>B164-1</f>
        <v>10</v>
      </c>
      <c r="E164" s="516">
        <f t="shared" si="74"/>
        <v>6</v>
      </c>
      <c r="F164" s="517">
        <f t="shared" si="75"/>
        <v>5</v>
      </c>
      <c r="G164" s="198">
        <v>0</v>
      </c>
    </row>
    <row r="165" spans="1:7" x14ac:dyDescent="0.2">
      <c r="A165" s="514" t="s">
        <v>194</v>
      </c>
      <c r="B165" s="521">
        <f>B164</f>
        <v>11</v>
      </c>
      <c r="C165" s="515">
        <f>R63</f>
        <v>7</v>
      </c>
      <c r="D165" s="520">
        <f>C165-1</f>
        <v>6</v>
      </c>
      <c r="E165" s="516">
        <f t="shared" si="74"/>
        <v>5</v>
      </c>
      <c r="F165" s="517">
        <f t="shared" si="75"/>
        <v>4</v>
      </c>
      <c r="G165" s="198">
        <v>0</v>
      </c>
    </row>
    <row r="166" spans="1:7" x14ac:dyDescent="0.2">
      <c r="A166" s="514" t="s">
        <v>195</v>
      </c>
      <c r="B166" s="521">
        <f>R64</f>
        <v>16</v>
      </c>
      <c r="C166" s="515"/>
      <c r="D166" s="516">
        <f>B166-1</f>
        <v>15</v>
      </c>
      <c r="E166" s="516">
        <f t="shared" si="74"/>
        <v>6</v>
      </c>
      <c r="F166" s="517">
        <f t="shared" si="75"/>
        <v>5</v>
      </c>
      <c r="G166" s="198">
        <v>0</v>
      </c>
    </row>
    <row r="167" spans="1:7" ht="13.5" thickBot="1" x14ac:dyDescent="0.25">
      <c r="A167" s="522" t="s">
        <v>196</v>
      </c>
      <c r="B167" s="523">
        <f>B166</f>
        <v>16</v>
      </c>
      <c r="C167" s="523">
        <f>R65</f>
        <v>12</v>
      </c>
      <c r="D167" s="524">
        <f>C167-1</f>
        <v>11</v>
      </c>
      <c r="E167" s="524">
        <f t="shared" si="74"/>
        <v>5</v>
      </c>
      <c r="F167" s="525">
        <f t="shared" si="75"/>
        <v>4</v>
      </c>
      <c r="G167" s="526">
        <v>0</v>
      </c>
    </row>
    <row r="170" spans="1:7" x14ac:dyDescent="0.2">
      <c r="A170" s="349" t="s">
        <v>254</v>
      </c>
      <c r="B170" s="349" t="s">
        <v>268</v>
      </c>
    </row>
    <row r="171" spans="1:7" x14ac:dyDescent="0.2">
      <c r="A171" s="527" t="s">
        <v>256</v>
      </c>
      <c r="B171" s="528">
        <f>HLOOKUP($B$170,'EA-18G Mission System Summary'!$B$1:$G$12,2,FALSE)</f>
        <v>0.87842811486852901</v>
      </c>
    </row>
    <row r="172" spans="1:7" x14ac:dyDescent="0.2">
      <c r="A172" s="527" t="str">
        <f t="shared" ref="A172:A180" si="76">A39</f>
        <v>Ready EA-18G Advanced Threat Mission Systems (C)</v>
      </c>
      <c r="B172" s="528">
        <f>HLOOKUP($B$170,'EA-18G Mission System Summary'!$B$1:$G$12,3,FALSE)</f>
        <v>0.17640194425352435</v>
      </c>
    </row>
    <row r="173" spans="1:7" x14ac:dyDescent="0.2">
      <c r="A173" s="527" t="str">
        <f t="shared" si="76"/>
        <v>Ready EA-18G HARM Mission Systems (D)</v>
      </c>
      <c r="B173" s="528">
        <f>HLOOKUP($B$170,'EA-18G Mission System Summary'!$B$1:$G$12,4,FALSE)</f>
        <v>0.81168628885911109</v>
      </c>
    </row>
    <row r="174" spans="1:7" x14ac:dyDescent="0.2">
      <c r="A174" s="527" t="str">
        <f t="shared" si="76"/>
        <v>Ready EA-18G AMRAAM Mission Systems (E)</v>
      </c>
      <c r="B174" s="528">
        <f>HLOOKUP($B$170,'EA-18G Mission System Summary'!$B$1:$G$12,5,FALSE)</f>
        <v>0.82359805574647593</v>
      </c>
    </row>
    <row r="175" spans="1:7" x14ac:dyDescent="0.2">
      <c r="A175" s="527" t="str">
        <f t="shared" si="76"/>
        <v>Ready EA-18G Ready Survivablity Mission System (F)</v>
      </c>
      <c r="B175" s="528">
        <f>HLOOKUP($B$170,'EA-18G Mission System Summary'!$B$1:$G$12,6,FALSE)</f>
        <v>0.81168628885911109</v>
      </c>
    </row>
    <row r="176" spans="1:7" x14ac:dyDescent="0.2">
      <c r="A176" s="527" t="str">
        <f t="shared" si="76"/>
        <v>Ready EA-18G Airborn Electronic Attack (AEA) System (G)</v>
      </c>
      <c r="B176" s="528">
        <f>HLOOKUP($B$170,'EA-18G Mission System Summary'!$B$1:$G$12,7,FALSE)</f>
        <v>0.82359805574647593</v>
      </c>
    </row>
    <row r="177" spans="1:2" x14ac:dyDescent="0.2">
      <c r="A177" s="527" t="str">
        <f t="shared" si="76"/>
        <v>Ready EA-18G Air Refueling System (I)</v>
      </c>
      <c r="B177" s="528">
        <f>HLOOKUP($B$170,'EA-18G Mission System Summary'!$B$1:$G$12,8,FALSE)</f>
        <v>0.17640194425352435</v>
      </c>
    </row>
    <row r="178" spans="1:2" x14ac:dyDescent="0.2">
      <c r="A178" s="527" t="str">
        <f t="shared" si="76"/>
        <v>Ready EA-18G Ready Tactical Navigation Systems (J)</v>
      </c>
      <c r="B178" s="528">
        <f>HLOOKUP($B$170,'EA-18G Mission System Summary'!$B$1:$G$12,9,FALSE)</f>
        <v>0.82359805574647593</v>
      </c>
    </row>
    <row r="179" spans="1:2" x14ac:dyDescent="0.2">
      <c r="A179" s="527" t="str">
        <f t="shared" si="76"/>
        <v>Ready EA-18G Shipboard Mission Systems (K)</v>
      </c>
      <c r="B179" s="528">
        <f>HLOOKUP($B$170,'EA-18G Mission System Summary'!$B$1:$G$12,10,FALSE)</f>
        <v>0.17640194425352435</v>
      </c>
    </row>
    <row r="180" spans="1:2" x14ac:dyDescent="0.2">
      <c r="A180" s="527" t="str">
        <f t="shared" si="76"/>
        <v>Ready EA-18G IMC Flight Mission Systems (L)</v>
      </c>
      <c r="B180" s="528">
        <f>HLOOKUP($B$170,'EA-18G Mission System Summary'!$B$1:$G$12,11,FALSE)</f>
        <v>1</v>
      </c>
    </row>
  </sheetData>
  <mergeCells count="19">
    <mergeCell ref="R16:W16"/>
    <mergeCell ref="X16:AB16"/>
    <mergeCell ref="A1:G1"/>
    <mergeCell ref="M1:P1"/>
    <mergeCell ref="B16:G16"/>
    <mergeCell ref="H16:J16"/>
    <mergeCell ref="K16:M16"/>
    <mergeCell ref="N16:Q16"/>
    <mergeCell ref="AG17:AJ17"/>
    <mergeCell ref="AG28:AH28"/>
    <mergeCell ref="AG38:AH38"/>
    <mergeCell ref="F137:G137"/>
    <mergeCell ref="A103:B103"/>
    <mergeCell ref="A104:B104"/>
    <mergeCell ref="A118:B118"/>
    <mergeCell ref="A122:B122"/>
    <mergeCell ref="B137:C137"/>
    <mergeCell ref="D137:E137"/>
    <mergeCell ref="A93:AC93"/>
  </mergeCells>
  <conditionalFormatting sqref="C151">
    <cfRule type="cellIs" dxfId="376" priority="192" operator="equal">
      <formula>B151</formula>
    </cfRule>
  </conditionalFormatting>
  <conditionalFormatting sqref="D151:E151">
    <cfRule type="cellIs" dxfId="375" priority="195" operator="equal">
      <formula>C151</formula>
    </cfRule>
  </conditionalFormatting>
  <conditionalFormatting sqref="F151">
    <cfRule type="cellIs" dxfId="374" priority="193" operator="equal">
      <formula>E151</formula>
    </cfRule>
    <cfRule type="cellIs" dxfId="373" priority="194" operator="equal">
      <formula>G151</formula>
    </cfRule>
  </conditionalFormatting>
  <conditionalFormatting sqref="F139">
    <cfRule type="cellIs" dxfId="372" priority="72" operator="equal">
      <formula>E139</formula>
    </cfRule>
  </conditionalFormatting>
  <conditionalFormatting sqref="F139">
    <cfRule type="cellIs" dxfId="371" priority="70" operator="equal">
      <formula>E139</formula>
    </cfRule>
  </conditionalFormatting>
  <conditionalFormatting sqref="F139">
    <cfRule type="cellIs" dxfId="370" priority="69" operator="equal">
      <formula>E139</formula>
    </cfRule>
  </conditionalFormatting>
  <conditionalFormatting sqref="D139">
    <cfRule type="cellIs" dxfId="369" priority="68" operator="equal">
      <formula>C139</formula>
    </cfRule>
  </conditionalFormatting>
  <conditionalFormatting sqref="E139">
    <cfRule type="cellIs" dxfId="368" priority="73" operator="equal">
      <formula>D139</formula>
    </cfRule>
  </conditionalFormatting>
  <conditionalFormatting sqref="F140:F141">
    <cfRule type="cellIs" dxfId="367" priority="67" operator="equal">
      <formula>E140</formula>
    </cfRule>
    <cfRule type="cellIs" dxfId="366" priority="71" operator="equal">
      <formula>G140</formula>
    </cfRule>
  </conditionalFormatting>
  <conditionalFormatting sqref="D139">
    <cfRule type="cellIs" dxfId="365" priority="74" operator="equal">
      <formula>C139</formula>
    </cfRule>
  </conditionalFormatting>
  <conditionalFormatting sqref="C139">
    <cfRule type="cellIs" dxfId="364" priority="66" operator="equal">
      <formula>B139</formula>
    </cfRule>
  </conditionalFormatting>
  <conditionalFormatting sqref="C140">
    <cfRule type="cellIs" dxfId="363" priority="65" operator="equal">
      <formula>B140</formula>
    </cfRule>
  </conditionalFormatting>
  <conditionalFormatting sqref="E140">
    <cfRule type="cellIs" dxfId="362" priority="64" operator="equal">
      <formula>D140</formula>
    </cfRule>
  </conditionalFormatting>
  <conditionalFormatting sqref="F142">
    <cfRule type="cellIs" dxfId="361" priority="62" operator="equal">
      <formula>E142</formula>
    </cfRule>
    <cfRule type="cellIs" dxfId="360" priority="63" operator="equal">
      <formula>G142</formula>
    </cfRule>
  </conditionalFormatting>
  <conditionalFormatting sqref="E142">
    <cfRule type="cellIs" dxfId="359" priority="60" operator="equal">
      <formula>D142</formula>
    </cfRule>
  </conditionalFormatting>
  <conditionalFormatting sqref="F143">
    <cfRule type="cellIs" dxfId="358" priority="58" operator="equal">
      <formula>E143</formula>
    </cfRule>
    <cfRule type="cellIs" dxfId="357" priority="59" operator="equal">
      <formula>G143</formula>
    </cfRule>
  </conditionalFormatting>
  <conditionalFormatting sqref="E143">
    <cfRule type="cellIs" dxfId="356" priority="56" operator="equal">
      <formula>D143</formula>
    </cfRule>
  </conditionalFormatting>
  <conditionalFormatting sqref="F144">
    <cfRule type="cellIs" dxfId="355" priority="54" operator="equal">
      <formula>E144</formula>
    </cfRule>
    <cfRule type="cellIs" dxfId="354" priority="55" operator="equal">
      <formula>G144</formula>
    </cfRule>
  </conditionalFormatting>
  <conditionalFormatting sqref="E144">
    <cfRule type="cellIs" dxfId="353" priority="52" operator="equal">
      <formula>D144</formula>
    </cfRule>
  </conditionalFormatting>
  <conditionalFormatting sqref="F145">
    <cfRule type="cellIs" dxfId="352" priority="50" operator="equal">
      <formula>E145</formula>
    </cfRule>
    <cfRule type="cellIs" dxfId="351" priority="51" operator="equal">
      <formula>G145</formula>
    </cfRule>
  </conditionalFormatting>
  <conditionalFormatting sqref="E145">
    <cfRule type="cellIs" dxfId="350" priority="48" operator="equal">
      <formula>D145</formula>
    </cfRule>
  </conditionalFormatting>
  <conditionalFormatting sqref="F146">
    <cfRule type="cellIs" dxfId="349" priority="46" operator="equal">
      <formula>E146</formula>
    </cfRule>
    <cfRule type="cellIs" dxfId="348" priority="47" operator="equal">
      <formula>G146</formula>
    </cfRule>
  </conditionalFormatting>
  <conditionalFormatting sqref="E146">
    <cfRule type="cellIs" dxfId="347" priority="44" operator="equal">
      <formula>D146</formula>
    </cfRule>
  </conditionalFormatting>
  <conditionalFormatting sqref="F147">
    <cfRule type="cellIs" dxfId="346" priority="42" operator="equal">
      <formula>E147</formula>
    </cfRule>
    <cfRule type="cellIs" dxfId="345" priority="43" operator="equal">
      <formula>G147</formula>
    </cfRule>
  </conditionalFormatting>
  <conditionalFormatting sqref="E147">
    <cfRule type="cellIs" dxfId="344" priority="40" operator="equal">
      <formula>D147</formula>
    </cfRule>
  </conditionalFormatting>
  <conditionalFormatting sqref="F148">
    <cfRule type="cellIs" dxfId="343" priority="38" operator="equal">
      <formula>E148</formula>
    </cfRule>
    <cfRule type="cellIs" dxfId="342" priority="39" operator="equal">
      <formula>G148</formula>
    </cfRule>
  </conditionalFormatting>
  <conditionalFormatting sqref="E148">
    <cfRule type="cellIs" dxfId="341" priority="36" operator="equal">
      <formula>D148</formula>
    </cfRule>
  </conditionalFormatting>
  <conditionalFormatting sqref="F149:F150">
    <cfRule type="cellIs" dxfId="340" priority="34" operator="equal">
      <formula>E149</formula>
    </cfRule>
    <cfRule type="cellIs" dxfId="339" priority="35" operator="equal">
      <formula>G149</formula>
    </cfRule>
  </conditionalFormatting>
  <conditionalFormatting sqref="C149:C150">
    <cfRule type="cellIs" dxfId="338" priority="33" operator="equal">
      <formula>B149</formula>
    </cfRule>
  </conditionalFormatting>
  <conditionalFormatting sqref="E149:E150">
    <cfRule type="cellIs" dxfId="337" priority="32" operator="equal">
      <formula>D149</formula>
    </cfRule>
  </conditionalFormatting>
  <conditionalFormatting sqref="E152:E167">
    <cfRule type="cellIs" dxfId="336" priority="26" operator="equal">
      <formula>D152</formula>
    </cfRule>
  </conditionalFormatting>
  <conditionalFormatting sqref="D152:D153">
    <cfRule type="cellIs" dxfId="335" priority="31" operator="equal">
      <formula>C152</formula>
    </cfRule>
  </conditionalFormatting>
  <conditionalFormatting sqref="F152:F167">
    <cfRule type="cellIs" dxfId="334" priority="29" operator="equal">
      <formula>E152</formula>
    </cfRule>
    <cfRule type="cellIs" dxfId="333" priority="30" operator="equal">
      <formula>G152</formula>
    </cfRule>
  </conditionalFormatting>
  <conditionalFormatting sqref="C152 C154 C156 C158 C160">
    <cfRule type="cellIs" dxfId="332" priority="28" operator="equal">
      <formula>B152</formula>
    </cfRule>
  </conditionalFormatting>
  <conditionalFormatting sqref="C162">
    <cfRule type="cellIs" dxfId="331" priority="27" operator="equal">
      <formula>B162</formula>
    </cfRule>
  </conditionalFormatting>
  <conditionalFormatting sqref="C153">
    <cfRule type="cellIs" dxfId="330" priority="25" operator="equal">
      <formula>B153</formula>
    </cfRule>
  </conditionalFormatting>
  <conditionalFormatting sqref="C164 C166">
    <cfRule type="cellIs" dxfId="329" priority="24" operator="equal">
      <formula>B164</formula>
    </cfRule>
  </conditionalFormatting>
  <conditionalFormatting sqref="C155">
    <cfRule type="cellIs" dxfId="328" priority="23" operator="equal">
      <formula>B155</formula>
    </cfRule>
  </conditionalFormatting>
  <conditionalFormatting sqref="C157">
    <cfRule type="cellIs" dxfId="327" priority="22" operator="equal">
      <formula>B157</formula>
    </cfRule>
  </conditionalFormatting>
  <conditionalFormatting sqref="C159">
    <cfRule type="cellIs" dxfId="326" priority="21" operator="equal">
      <formula>B159</formula>
    </cfRule>
  </conditionalFormatting>
  <conditionalFormatting sqref="C161">
    <cfRule type="cellIs" dxfId="325" priority="20" operator="equal">
      <formula>B161</formula>
    </cfRule>
  </conditionalFormatting>
  <conditionalFormatting sqref="C163">
    <cfRule type="cellIs" dxfId="324" priority="19" operator="equal">
      <formula>B163</formula>
    </cfRule>
  </conditionalFormatting>
  <conditionalFormatting sqref="C165">
    <cfRule type="cellIs" dxfId="323" priority="18" operator="equal">
      <formula>B165</formula>
    </cfRule>
  </conditionalFormatting>
  <conditionalFormatting sqref="C167">
    <cfRule type="cellIs" dxfId="322" priority="17" operator="equal">
      <formula>B167</formula>
    </cfRule>
  </conditionalFormatting>
  <conditionalFormatting sqref="D154:D155">
    <cfRule type="cellIs" dxfId="321" priority="16" operator="equal">
      <formula>C154</formula>
    </cfRule>
  </conditionalFormatting>
  <conditionalFormatting sqref="D156:D157">
    <cfRule type="cellIs" dxfId="320" priority="15" operator="equal">
      <formula>C156</formula>
    </cfRule>
  </conditionalFormatting>
  <conditionalFormatting sqref="D158:D159">
    <cfRule type="cellIs" dxfId="319" priority="14" operator="equal">
      <formula>C158</formula>
    </cfRule>
  </conditionalFormatting>
  <conditionalFormatting sqref="D160:D161">
    <cfRule type="cellIs" dxfId="318" priority="13" operator="equal">
      <formula>C160</formula>
    </cfRule>
  </conditionalFormatting>
  <conditionalFormatting sqref="D162:D163">
    <cfRule type="cellIs" dxfId="317" priority="12" operator="equal">
      <formula>C162</formula>
    </cfRule>
  </conditionalFormatting>
  <conditionalFormatting sqref="D164:D165">
    <cfRule type="cellIs" dxfId="316" priority="11" operator="equal">
      <formula>C164</formula>
    </cfRule>
  </conditionalFormatting>
  <conditionalFormatting sqref="D166:D167">
    <cfRule type="cellIs" dxfId="315" priority="10" operator="equal">
      <formula>C166</formula>
    </cfRule>
  </conditionalFormatting>
  <conditionalFormatting sqref="B124:B135">
    <cfRule type="cellIs" dxfId="314" priority="116" operator="notEqual">
      <formula>#REF!</formula>
    </cfRule>
  </conditionalFormatting>
  <conditionalFormatting sqref="C124:C135">
    <cfRule type="cellIs" dxfId="313" priority="114" operator="notEqual">
      <formula>#REF!</formula>
    </cfRule>
  </conditionalFormatting>
  <conditionalFormatting sqref="C143">
    <cfRule type="cellIs" dxfId="312" priority="6" operator="equal">
      <formula>B143</formula>
    </cfRule>
  </conditionalFormatting>
  <conditionalFormatting sqref="C142">
    <cfRule type="cellIs" dxfId="311" priority="7" operator="equal">
      <formula>B142</formula>
    </cfRule>
  </conditionalFormatting>
  <conditionalFormatting sqref="C144">
    <cfRule type="cellIs" dxfId="310" priority="5" operator="equal">
      <formula>B144</formula>
    </cfRule>
  </conditionalFormatting>
  <conditionalFormatting sqref="C145">
    <cfRule type="cellIs" dxfId="309" priority="4" operator="equal">
      <formula>B145</formula>
    </cfRule>
  </conditionalFormatting>
  <conditionalFormatting sqref="C146">
    <cfRule type="cellIs" dxfId="308" priority="3" operator="equal">
      <formula>B146</formula>
    </cfRule>
  </conditionalFormatting>
  <conditionalFormatting sqref="C147">
    <cfRule type="cellIs" dxfId="307" priority="2" operator="equal">
      <formula>B147</formula>
    </cfRule>
  </conditionalFormatting>
  <conditionalFormatting sqref="C148">
    <cfRule type="cellIs" dxfId="306" priority="1" operator="equal">
      <formula>B148</formula>
    </cfRule>
  </conditionalFormatting>
  <dataValidations disablePrompts="1" count="1">
    <dataValidation type="list" allowBlank="1" showInputMessage="1" showErrorMessage="1" sqref="AH20" xr:uid="{00000000-0002-0000-0300-000000000000}">
      <formula1>$B$14:$AB$14</formula1>
    </dataValidation>
  </dataValidations>
  <hyperlinks>
    <hyperlink ref="H1" location="Inventory!A1" display="Inventory" xr:uid="{00000000-0004-0000-0300-000000000000}"/>
    <hyperlink ref="H1:I1" location="Inventory!A1" display="Inventory" xr:uid="{00000000-0004-0000-0300-000001000000}"/>
    <hyperlink ref="H2" location="'VAQ (7 EA-18G CVW)'!A167" display="AMFOM" xr:uid="{00000000-0004-0000-0300-000002000000}"/>
    <hyperlink ref="J137" location="Inventory!A1" display="Inventory" xr:uid="{00000000-0004-0000-0300-000003000000}"/>
    <hyperlink ref="J138" location="'VAQ (7 EA-18G CVW)'!A1" display="Top" xr:uid="{00000000-0004-0000-0300-000004000000}"/>
  </hyperlinks>
  <printOptions horizontalCentered="1" verticalCentered="1"/>
  <pageMargins left="0.25" right="0.25" top="0.75" bottom="0.75" header="0.3" footer="0.3"/>
  <pageSetup scale="24" orientation="landscape" r:id="rId1"/>
  <headerFooter alignWithMargins="0"/>
  <ignoredErrors>
    <ignoredError sqref="J57:J58 K61:M61 J63:M63"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180"/>
  <sheetViews>
    <sheetView showGridLines="0" topLeftCell="A21" zoomScaleNormal="100" zoomScaleSheetLayoutView="100" workbookViewId="0">
      <selection activeCell="A172" sqref="A172"/>
    </sheetView>
  </sheetViews>
  <sheetFormatPr defaultColWidth="8.85546875" defaultRowHeight="12.75" x14ac:dyDescent="0.2"/>
  <cols>
    <col min="1" max="1" width="45.85546875" style="7" customWidth="1"/>
    <col min="2" max="14" width="5.7109375" style="7" customWidth="1"/>
    <col min="15" max="15" width="5.7109375" style="85" customWidth="1"/>
    <col min="16" max="29" width="5.7109375" style="7" customWidth="1"/>
    <col min="30" max="30" width="6.28515625" style="7" bestFit="1" customWidth="1"/>
    <col min="31" max="31" width="5.7109375" style="7" customWidth="1"/>
    <col min="32" max="38" width="20.7109375" style="7" customWidth="1"/>
    <col min="39" max="16384" width="8.85546875" style="7"/>
  </cols>
  <sheetData>
    <row r="1" spans="1:36" s="1" customFormat="1" ht="18.75" x14ac:dyDescent="0.3">
      <c r="A1" s="46" t="s">
        <v>269</v>
      </c>
      <c r="B1" s="46"/>
      <c r="C1" s="46"/>
      <c r="D1" s="46"/>
      <c r="E1" s="46"/>
      <c r="F1" s="46"/>
      <c r="H1" s="80" t="s">
        <v>63</v>
      </c>
      <c r="I1" s="82"/>
      <c r="L1" s="132" t="s">
        <v>2</v>
      </c>
      <c r="M1" s="648">
        <v>44835</v>
      </c>
      <c r="N1" s="649"/>
      <c r="O1" s="650"/>
      <c r="P1" s="650"/>
      <c r="AC1" s="1" t="s">
        <v>64</v>
      </c>
      <c r="AD1" s="311">
        <v>5.03</v>
      </c>
    </row>
    <row r="2" spans="1:36" s="3" customFormat="1" x14ac:dyDescent="0.2">
      <c r="A2" s="43" t="s">
        <v>65</v>
      </c>
      <c r="B2" s="28">
        <v>7</v>
      </c>
      <c r="C2" s="29"/>
      <c r="D2" s="29"/>
      <c r="E2" s="29"/>
      <c r="F2" s="29"/>
      <c r="H2" s="343" t="s">
        <v>3</v>
      </c>
      <c r="O2" s="86"/>
    </row>
    <row r="3" spans="1:36" s="3" customFormat="1" ht="11.25" x14ac:dyDescent="0.2">
      <c r="A3" s="43" t="s">
        <v>66</v>
      </c>
      <c r="B3" s="31">
        <v>1.8</v>
      </c>
      <c r="C3" s="29"/>
      <c r="D3" s="29"/>
      <c r="E3" s="29"/>
      <c r="F3" s="29"/>
      <c r="I3" s="2"/>
      <c r="J3" s="2"/>
    </row>
    <row r="4" spans="1:36" s="3" customFormat="1" ht="11.25" x14ac:dyDescent="0.2">
      <c r="A4" s="43" t="s">
        <v>67</v>
      </c>
      <c r="B4" s="44">
        <f>ROUND(B2*B3,0)</f>
        <v>13</v>
      </c>
      <c r="C4" s="29"/>
      <c r="D4" s="29"/>
      <c r="E4" s="29"/>
      <c r="F4" s="29"/>
      <c r="G4" s="2"/>
      <c r="H4" s="2"/>
      <c r="I4" s="2"/>
      <c r="J4" s="2"/>
      <c r="K4" s="2"/>
      <c r="O4" s="86"/>
    </row>
    <row r="5" spans="1:36" s="3" customFormat="1" ht="11.25" x14ac:dyDescent="0.2">
      <c r="A5" s="43" t="s">
        <v>68</v>
      </c>
      <c r="B5" s="29">
        <v>1.9</v>
      </c>
      <c r="C5" s="32"/>
      <c r="D5" s="29"/>
      <c r="E5" s="29"/>
      <c r="F5" s="29"/>
      <c r="G5" s="2"/>
      <c r="H5" s="2"/>
      <c r="I5" s="2"/>
      <c r="J5" s="2"/>
      <c r="K5" s="2"/>
      <c r="O5" s="86"/>
    </row>
    <row r="6" spans="1:36" s="3" customFormat="1" ht="11.25" x14ac:dyDescent="0.2">
      <c r="A6" s="45" t="s">
        <v>69</v>
      </c>
      <c r="B6" s="29">
        <v>27</v>
      </c>
      <c r="C6" s="32"/>
      <c r="D6" s="29"/>
      <c r="E6" s="29"/>
      <c r="F6" s="29"/>
      <c r="G6" s="2"/>
      <c r="H6" s="2"/>
      <c r="I6" s="2"/>
      <c r="J6" s="2"/>
      <c r="K6" s="2"/>
      <c r="L6" s="4"/>
      <c r="M6" s="4"/>
      <c r="N6" s="4"/>
      <c r="O6" s="86"/>
      <c r="P6" s="59"/>
    </row>
    <row r="7" spans="1:36" s="3" customFormat="1" ht="11.25" x14ac:dyDescent="0.2">
      <c r="A7" s="43" t="s">
        <v>70</v>
      </c>
      <c r="B7" s="29">
        <f>B6*B4</f>
        <v>351</v>
      </c>
      <c r="C7" s="34"/>
      <c r="D7" s="34"/>
      <c r="E7" s="29"/>
      <c r="F7" s="29"/>
      <c r="G7" s="2"/>
      <c r="H7" s="2"/>
      <c r="I7" s="2"/>
      <c r="J7" s="2"/>
      <c r="K7" s="2"/>
      <c r="L7" s="2"/>
      <c r="M7" s="2"/>
      <c r="N7" s="2"/>
      <c r="O7" s="86"/>
    </row>
    <row r="8" spans="1:36" s="3" customFormat="1" ht="11.25" x14ac:dyDescent="0.2">
      <c r="A8" s="43" t="s">
        <v>71</v>
      </c>
      <c r="B8" s="28">
        <f>B7/B5</f>
        <v>184.73684210526318</v>
      </c>
      <c r="C8" s="29"/>
      <c r="D8" s="34"/>
      <c r="E8" s="29"/>
      <c r="F8" s="29"/>
      <c r="G8" s="2"/>
      <c r="H8" s="2"/>
      <c r="I8" s="2"/>
      <c r="J8" s="2"/>
      <c r="K8" s="2"/>
      <c r="L8" s="2"/>
      <c r="M8" s="2"/>
      <c r="N8" s="2"/>
      <c r="O8" s="86"/>
    </row>
    <row r="9" spans="1:36" s="3" customFormat="1" ht="11.25" x14ac:dyDescent="0.2">
      <c r="A9" s="43" t="s">
        <v>72</v>
      </c>
      <c r="B9" s="28">
        <f>B4*C9</f>
        <v>13</v>
      </c>
      <c r="C9" s="29">
        <v>1</v>
      </c>
      <c r="D9" s="150" t="s">
        <v>73</v>
      </c>
      <c r="E9" s="29"/>
      <c r="F9" s="2"/>
      <c r="G9" s="56" t="s">
        <v>74</v>
      </c>
      <c r="H9" s="57">
        <v>0.4</v>
      </c>
      <c r="I9" s="2"/>
      <c r="J9" s="2"/>
      <c r="K9" s="2"/>
      <c r="L9" s="2"/>
      <c r="M9" s="2"/>
      <c r="N9" s="2"/>
      <c r="O9" s="86"/>
    </row>
    <row r="10" spans="1:36" s="3" customFormat="1" ht="11.25" x14ac:dyDescent="0.2">
      <c r="A10" s="43" t="s">
        <v>75</v>
      </c>
      <c r="B10" s="28">
        <f>B4*C10</f>
        <v>35.1</v>
      </c>
      <c r="C10" s="29">
        <v>2.7</v>
      </c>
      <c r="D10" s="150" t="s">
        <v>73</v>
      </c>
      <c r="E10" s="29"/>
      <c r="F10" s="2"/>
      <c r="G10" s="58" t="s">
        <v>76</v>
      </c>
      <c r="H10" s="57">
        <v>0.28599999999999998</v>
      </c>
      <c r="I10" s="2"/>
      <c r="J10" s="2"/>
      <c r="K10" s="2"/>
      <c r="L10" s="2"/>
      <c r="M10" s="2"/>
      <c r="N10" s="2"/>
      <c r="O10" s="86"/>
    </row>
    <row r="11" spans="1:36" s="3" customFormat="1" ht="11.25" x14ac:dyDescent="0.2">
      <c r="A11" s="149" t="s">
        <v>77</v>
      </c>
      <c r="B11" s="3">
        <f>C11*B4</f>
        <v>2.6</v>
      </c>
      <c r="C11" s="4">
        <v>0.2</v>
      </c>
      <c r="D11" s="150" t="s">
        <v>73</v>
      </c>
      <c r="E11" s="29"/>
      <c r="F11" s="2"/>
      <c r="G11" s="58"/>
      <c r="H11" s="57"/>
      <c r="I11" s="2"/>
      <c r="J11" s="2"/>
      <c r="K11" s="2"/>
      <c r="L11" s="2"/>
      <c r="M11" s="2"/>
      <c r="N11" s="2"/>
      <c r="O11" s="86"/>
    </row>
    <row r="12" spans="1:36" s="3" customFormat="1" ht="11.25" x14ac:dyDescent="0.2">
      <c r="A12" s="43"/>
      <c r="B12" s="28"/>
      <c r="C12" s="29"/>
      <c r="D12" s="35"/>
      <c r="E12" s="29"/>
      <c r="F12" s="29"/>
      <c r="G12" s="2"/>
      <c r="H12" s="2"/>
      <c r="I12" s="2"/>
      <c r="J12" s="2"/>
      <c r="K12" s="2"/>
      <c r="L12" s="2"/>
      <c r="M12" s="2"/>
      <c r="N12" s="2"/>
      <c r="O12" s="86"/>
    </row>
    <row r="13" spans="1:36" s="5" customFormat="1" ht="59.25" customHeight="1" x14ac:dyDescent="0.4">
      <c r="A13" s="532" t="s">
        <v>79</v>
      </c>
      <c r="B13" s="533" t="s">
        <v>85</v>
      </c>
      <c r="C13" s="533" t="s">
        <v>85</v>
      </c>
      <c r="D13" s="533" t="s">
        <v>84</v>
      </c>
      <c r="E13" s="533" t="s">
        <v>84</v>
      </c>
      <c r="F13" s="533" t="s">
        <v>84</v>
      </c>
      <c r="G13" s="533" t="s">
        <v>85</v>
      </c>
      <c r="H13" s="533" t="s">
        <v>85</v>
      </c>
      <c r="I13" s="533" t="s">
        <v>85</v>
      </c>
      <c r="J13" s="533" t="s">
        <v>84</v>
      </c>
      <c r="K13" s="533" t="s">
        <v>84</v>
      </c>
      <c r="L13" s="533" t="s">
        <v>84</v>
      </c>
      <c r="M13" s="533" t="s">
        <v>84</v>
      </c>
      <c r="N13" s="416" t="s">
        <v>86</v>
      </c>
      <c r="O13" s="85"/>
      <c r="AF13" s="87"/>
      <c r="AG13" s="88" t="s">
        <v>87</v>
      </c>
      <c r="AH13" s="89"/>
      <c r="AI13" s="89"/>
      <c r="AJ13" s="89"/>
    </row>
    <row r="14" spans="1:36" s="6" customFormat="1" ht="12" x14ac:dyDescent="0.2">
      <c r="A14" s="532" t="s">
        <v>88</v>
      </c>
      <c r="B14" s="534" t="s">
        <v>105</v>
      </c>
      <c r="C14" s="534" t="s">
        <v>106</v>
      </c>
      <c r="D14" s="534" t="s">
        <v>91</v>
      </c>
      <c r="E14" s="534" t="s">
        <v>92</v>
      </c>
      <c r="F14" s="534" t="s">
        <v>93</v>
      </c>
      <c r="G14" s="534" t="s">
        <v>107</v>
      </c>
      <c r="H14" s="534" t="s">
        <v>108</v>
      </c>
      <c r="I14" s="534" t="s">
        <v>109</v>
      </c>
      <c r="J14" s="534" t="s">
        <v>97</v>
      </c>
      <c r="K14" s="534" t="s">
        <v>98</v>
      </c>
      <c r="L14" s="534" t="s">
        <v>99</v>
      </c>
      <c r="M14" s="534" t="s">
        <v>100</v>
      </c>
      <c r="N14" s="417" t="s">
        <v>116</v>
      </c>
      <c r="O14" s="90">
        <v>1</v>
      </c>
      <c r="AF14" s="87"/>
      <c r="AG14" s="91"/>
      <c r="AH14" s="91"/>
      <c r="AI14" s="91"/>
      <c r="AJ14" s="91"/>
    </row>
    <row r="15" spans="1:36" s="6" customFormat="1" ht="12" x14ac:dyDescent="0.2">
      <c r="A15" s="532" t="s">
        <v>117</v>
      </c>
      <c r="B15" s="535">
        <v>1</v>
      </c>
      <c r="C15" s="535">
        <v>2</v>
      </c>
      <c r="D15" s="535">
        <v>3</v>
      </c>
      <c r="E15" s="535">
        <v>4</v>
      </c>
      <c r="F15" s="535">
        <v>5</v>
      </c>
      <c r="G15" s="535">
        <v>6</v>
      </c>
      <c r="H15" s="535">
        <v>7</v>
      </c>
      <c r="I15" s="535">
        <v>8</v>
      </c>
      <c r="J15" s="535">
        <v>9</v>
      </c>
      <c r="K15" s="535">
        <v>10</v>
      </c>
      <c r="L15" s="535">
        <v>11</v>
      </c>
      <c r="M15" s="535">
        <v>12</v>
      </c>
      <c r="N15" s="417">
        <v>28</v>
      </c>
      <c r="O15" s="92">
        <v>2</v>
      </c>
      <c r="AF15" s="87"/>
      <c r="AG15" s="91"/>
      <c r="AH15" s="91"/>
      <c r="AI15" s="91"/>
      <c r="AJ15" s="91"/>
    </row>
    <row r="16" spans="1:36" ht="12" x14ac:dyDescent="0.2">
      <c r="A16" s="532" t="s">
        <v>118</v>
      </c>
      <c r="B16" s="654" t="s">
        <v>123</v>
      </c>
      <c r="C16" s="655"/>
      <c r="D16" s="656" t="s">
        <v>84</v>
      </c>
      <c r="E16" s="657"/>
      <c r="F16" s="658"/>
      <c r="G16" s="654" t="s">
        <v>123</v>
      </c>
      <c r="H16" s="659"/>
      <c r="I16" s="655"/>
      <c r="J16" s="656" t="s">
        <v>84</v>
      </c>
      <c r="K16" s="657"/>
      <c r="L16" s="657"/>
      <c r="M16" s="658"/>
      <c r="N16" s="417" t="s">
        <v>124</v>
      </c>
      <c r="O16" s="90">
        <v>3</v>
      </c>
      <c r="AF16" s="93"/>
      <c r="AG16" s="94"/>
      <c r="AH16" s="95"/>
      <c r="AI16" s="87"/>
      <c r="AJ16" s="87"/>
    </row>
    <row r="17" spans="1:36" x14ac:dyDescent="0.2">
      <c r="A17" s="97" t="s">
        <v>125</v>
      </c>
      <c r="B17" s="365"/>
      <c r="C17" s="8"/>
      <c r="D17" s="8"/>
      <c r="E17" s="8"/>
      <c r="F17" s="8"/>
      <c r="G17" s="8"/>
      <c r="H17" s="8"/>
      <c r="I17" s="8"/>
      <c r="J17" s="8"/>
      <c r="K17" s="8"/>
      <c r="L17" s="8"/>
      <c r="M17" s="8"/>
      <c r="N17" s="19"/>
      <c r="O17" s="92">
        <v>4</v>
      </c>
      <c r="AF17" s="93"/>
      <c r="AG17" s="629" t="s">
        <v>126</v>
      </c>
      <c r="AH17" s="629"/>
      <c r="AI17" s="629"/>
      <c r="AJ17" s="629"/>
    </row>
    <row r="18" spans="1:36" s="99" customFormat="1" ht="12" x14ac:dyDescent="0.2">
      <c r="A18" s="418" t="s">
        <v>127</v>
      </c>
      <c r="B18" s="419">
        <f t="shared" ref="B18:N18" si="0">IF(B96&lt;80,B97,MIN(B96,80))</f>
        <v>80</v>
      </c>
      <c r="C18" s="419">
        <f t="shared" si="0"/>
        <v>80</v>
      </c>
      <c r="D18" s="419">
        <f t="shared" si="0"/>
        <v>80</v>
      </c>
      <c r="E18" s="419">
        <f t="shared" si="0"/>
        <v>80</v>
      </c>
      <c r="F18" s="419">
        <f t="shared" si="0"/>
        <v>80</v>
      </c>
      <c r="G18" s="419">
        <f t="shared" si="0"/>
        <v>80</v>
      </c>
      <c r="H18" s="419">
        <f t="shared" si="0"/>
        <v>80</v>
      </c>
      <c r="I18" s="419">
        <f t="shared" si="0"/>
        <v>80</v>
      </c>
      <c r="J18" s="419">
        <f t="shared" si="0"/>
        <v>80</v>
      </c>
      <c r="K18" s="419">
        <f t="shared" si="0"/>
        <v>80</v>
      </c>
      <c r="L18" s="419">
        <f t="shared" si="0"/>
        <v>80</v>
      </c>
      <c r="M18" s="419">
        <f t="shared" si="0"/>
        <v>80</v>
      </c>
      <c r="N18" s="419">
        <f t="shared" si="0"/>
        <v>33.173239330422895</v>
      </c>
      <c r="O18" s="90">
        <v>5</v>
      </c>
      <c r="AF18" s="93"/>
      <c r="AG18" s="102"/>
      <c r="AH18" s="102"/>
      <c r="AI18" s="101"/>
      <c r="AJ18" s="101"/>
    </row>
    <row r="19" spans="1:36" ht="12" x14ac:dyDescent="0.2">
      <c r="A19" s="421" t="s">
        <v>128</v>
      </c>
      <c r="B19" s="425">
        <v>0.8</v>
      </c>
      <c r="C19" s="425">
        <v>0.8</v>
      </c>
      <c r="D19" s="425">
        <v>0.6</v>
      </c>
      <c r="E19" s="425">
        <v>0.75</v>
      </c>
      <c r="F19" s="425">
        <v>0.75</v>
      </c>
      <c r="G19" s="425">
        <v>0.8</v>
      </c>
      <c r="H19" s="425">
        <v>0.8</v>
      </c>
      <c r="I19" s="425">
        <v>0.8</v>
      </c>
      <c r="J19" s="425">
        <v>0.6</v>
      </c>
      <c r="K19" s="425">
        <v>0.75</v>
      </c>
      <c r="L19" s="425">
        <v>0.75</v>
      </c>
      <c r="M19" s="425">
        <v>0.75</v>
      </c>
      <c r="N19" s="425">
        <f>H9</f>
        <v>0.4</v>
      </c>
      <c r="O19" s="92">
        <v>6</v>
      </c>
      <c r="AF19" s="93"/>
      <c r="AG19" s="96" t="s">
        <v>129</v>
      </c>
      <c r="AH19" s="96"/>
      <c r="AI19" s="103"/>
      <c r="AJ19" s="103"/>
    </row>
    <row r="20" spans="1:36" ht="12" x14ac:dyDescent="0.2">
      <c r="A20" s="423" t="s">
        <v>130</v>
      </c>
      <c r="B20" s="425"/>
      <c r="C20" s="425"/>
      <c r="D20" s="425"/>
      <c r="E20" s="425"/>
      <c r="F20" s="425"/>
      <c r="G20" s="425"/>
      <c r="H20" s="425"/>
      <c r="I20" s="425"/>
      <c r="J20" s="425"/>
      <c r="K20" s="425"/>
      <c r="L20" s="425"/>
      <c r="M20" s="425"/>
      <c r="N20" s="425"/>
      <c r="O20" s="90">
        <v>7</v>
      </c>
      <c r="AF20" s="93"/>
      <c r="AG20" s="87"/>
      <c r="AH20" s="426" t="s">
        <v>105</v>
      </c>
      <c r="AI20" s="104" t="s">
        <v>131</v>
      </c>
      <c r="AJ20" s="87"/>
    </row>
    <row r="21" spans="1:36" s="10" customFormat="1" ht="12" x14ac:dyDescent="0.2">
      <c r="A21" s="427" t="s">
        <v>132</v>
      </c>
      <c r="B21" s="428">
        <f t="shared" ref="B21:N21" si="1">B19*$B$8</f>
        <v>147.78947368421055</v>
      </c>
      <c r="C21" s="428">
        <f t="shared" si="1"/>
        <v>147.78947368421055</v>
      </c>
      <c r="D21" s="428">
        <f t="shared" si="1"/>
        <v>110.8421052631579</v>
      </c>
      <c r="E21" s="428">
        <f t="shared" si="1"/>
        <v>138.5526315789474</v>
      </c>
      <c r="F21" s="428">
        <f t="shared" si="1"/>
        <v>138.5526315789474</v>
      </c>
      <c r="G21" s="428">
        <f t="shared" si="1"/>
        <v>147.78947368421055</v>
      </c>
      <c r="H21" s="428">
        <f t="shared" si="1"/>
        <v>147.78947368421055</v>
      </c>
      <c r="I21" s="428">
        <f t="shared" si="1"/>
        <v>147.78947368421055</v>
      </c>
      <c r="J21" s="428">
        <f t="shared" si="1"/>
        <v>110.8421052631579</v>
      </c>
      <c r="K21" s="428">
        <f t="shared" si="1"/>
        <v>138.5526315789474</v>
      </c>
      <c r="L21" s="428">
        <f t="shared" si="1"/>
        <v>138.5526315789474</v>
      </c>
      <c r="M21" s="428">
        <f t="shared" si="1"/>
        <v>138.5526315789474</v>
      </c>
      <c r="N21" s="428">
        <f t="shared" si="1"/>
        <v>73.894736842105274</v>
      </c>
      <c r="O21" s="92">
        <v>8</v>
      </c>
      <c r="AF21" s="93"/>
      <c r="AG21" s="87"/>
      <c r="AH21" s="87"/>
      <c r="AI21" s="87"/>
      <c r="AJ21" s="87"/>
    </row>
    <row r="22" spans="1:36" s="11" customFormat="1" ht="12" x14ac:dyDescent="0.2">
      <c r="A22" s="427" t="s">
        <v>133</v>
      </c>
      <c r="B22" s="429">
        <f t="shared" ref="B22:N22" si="2">B21*$B$5</f>
        <v>280.8</v>
      </c>
      <c r="C22" s="429">
        <f t="shared" si="2"/>
        <v>280.8</v>
      </c>
      <c r="D22" s="429">
        <f t="shared" si="2"/>
        <v>210.60000000000002</v>
      </c>
      <c r="E22" s="429">
        <f t="shared" si="2"/>
        <v>263.25000000000006</v>
      </c>
      <c r="F22" s="429">
        <f t="shared" si="2"/>
        <v>263.25000000000006</v>
      </c>
      <c r="G22" s="429">
        <f t="shared" si="2"/>
        <v>280.8</v>
      </c>
      <c r="H22" s="429">
        <f t="shared" si="2"/>
        <v>280.8</v>
      </c>
      <c r="I22" s="429">
        <f t="shared" si="2"/>
        <v>280.8</v>
      </c>
      <c r="J22" s="429">
        <f t="shared" si="2"/>
        <v>210.60000000000002</v>
      </c>
      <c r="K22" s="429">
        <f t="shared" si="2"/>
        <v>263.25000000000006</v>
      </c>
      <c r="L22" s="429">
        <f t="shared" si="2"/>
        <v>263.25000000000006</v>
      </c>
      <c r="M22" s="429">
        <f t="shared" si="2"/>
        <v>263.25000000000006</v>
      </c>
      <c r="N22" s="429">
        <f t="shared" si="2"/>
        <v>140.4</v>
      </c>
      <c r="O22" s="90">
        <v>9</v>
      </c>
      <c r="AF22" s="93"/>
      <c r="AG22" s="431" t="s">
        <v>134</v>
      </c>
      <c r="AH22" s="432">
        <f>HLOOKUP($AH$20,$B$14:$O$67,O36,FALSE)</f>
        <v>7</v>
      </c>
      <c r="AI22" s="105"/>
      <c r="AJ22" s="87"/>
    </row>
    <row r="23" spans="1:36" s="11" customFormat="1" ht="12" x14ac:dyDescent="0.2">
      <c r="A23" s="427" t="s">
        <v>135</v>
      </c>
      <c r="B23" s="433">
        <f>$B$9</f>
        <v>13</v>
      </c>
      <c r="C23" s="433">
        <f t="shared" ref="C23:N23" si="3">$B$9</f>
        <v>13</v>
      </c>
      <c r="D23" s="433">
        <f t="shared" si="3"/>
        <v>13</v>
      </c>
      <c r="E23" s="433">
        <f t="shared" si="3"/>
        <v>13</v>
      </c>
      <c r="F23" s="433">
        <f t="shared" si="3"/>
        <v>13</v>
      </c>
      <c r="G23" s="433">
        <f t="shared" si="3"/>
        <v>13</v>
      </c>
      <c r="H23" s="433">
        <f t="shared" si="3"/>
        <v>13</v>
      </c>
      <c r="I23" s="433">
        <f t="shared" si="3"/>
        <v>13</v>
      </c>
      <c r="J23" s="433">
        <f t="shared" si="3"/>
        <v>13</v>
      </c>
      <c r="K23" s="433">
        <f t="shared" si="3"/>
        <v>13</v>
      </c>
      <c r="L23" s="433">
        <f t="shared" si="3"/>
        <v>13</v>
      </c>
      <c r="M23" s="433">
        <f t="shared" si="3"/>
        <v>13</v>
      </c>
      <c r="N23" s="433">
        <f t="shared" si="3"/>
        <v>13</v>
      </c>
      <c r="O23" s="92">
        <v>10</v>
      </c>
      <c r="AF23" s="93"/>
      <c r="AG23" s="431" t="s">
        <v>136</v>
      </c>
      <c r="AH23" s="432">
        <v>3</v>
      </c>
      <c r="AI23" s="96"/>
      <c r="AJ23" s="87"/>
    </row>
    <row r="24" spans="1:36" s="11" customFormat="1" ht="12" x14ac:dyDescent="0.2">
      <c r="A24" s="427" t="s">
        <v>137</v>
      </c>
      <c r="B24" s="433">
        <f t="shared" ref="B24:N24" si="4">IF(ISBLANK(B120),0,$B$10)</f>
        <v>35.1</v>
      </c>
      <c r="C24" s="433">
        <f t="shared" si="4"/>
        <v>35.1</v>
      </c>
      <c r="D24" s="433">
        <f t="shared" si="4"/>
        <v>0</v>
      </c>
      <c r="E24" s="433">
        <f t="shared" si="4"/>
        <v>0</v>
      </c>
      <c r="F24" s="433">
        <f t="shared" si="4"/>
        <v>0</v>
      </c>
      <c r="G24" s="433">
        <f t="shared" si="4"/>
        <v>35.1</v>
      </c>
      <c r="H24" s="433">
        <f t="shared" si="4"/>
        <v>35.1</v>
      </c>
      <c r="I24" s="433">
        <f t="shared" si="4"/>
        <v>35.1</v>
      </c>
      <c r="J24" s="433">
        <f t="shared" si="4"/>
        <v>0</v>
      </c>
      <c r="K24" s="433">
        <f t="shared" si="4"/>
        <v>0</v>
      </c>
      <c r="L24" s="433">
        <f t="shared" si="4"/>
        <v>0</v>
      </c>
      <c r="M24" s="433">
        <f t="shared" si="4"/>
        <v>0</v>
      </c>
      <c r="N24" s="433">
        <f t="shared" si="4"/>
        <v>0</v>
      </c>
      <c r="O24" s="90">
        <v>11</v>
      </c>
      <c r="AF24" s="93"/>
      <c r="AG24" s="99" t="s">
        <v>138</v>
      </c>
      <c r="AI24" s="34"/>
      <c r="AJ24" s="87"/>
    </row>
    <row r="25" spans="1:36" s="11" customFormat="1" ht="12" x14ac:dyDescent="0.2">
      <c r="A25" s="427" t="s">
        <v>139</v>
      </c>
      <c r="B25" s="429">
        <f>B21*$B$5+SUM(B23:B24)</f>
        <v>328.90000000000003</v>
      </c>
      <c r="C25" s="429">
        <f t="shared" ref="C25:M25" si="5">C21*$B$5+SUM(C23:C24)</f>
        <v>328.90000000000003</v>
      </c>
      <c r="D25" s="429">
        <f t="shared" si="5"/>
        <v>223.60000000000002</v>
      </c>
      <c r="E25" s="429">
        <f t="shared" si="5"/>
        <v>276.25000000000006</v>
      </c>
      <c r="F25" s="429">
        <f t="shared" si="5"/>
        <v>276.25000000000006</v>
      </c>
      <c r="G25" s="429">
        <f t="shared" si="5"/>
        <v>328.90000000000003</v>
      </c>
      <c r="H25" s="429">
        <f t="shared" si="5"/>
        <v>328.90000000000003</v>
      </c>
      <c r="I25" s="429">
        <f t="shared" si="5"/>
        <v>328.90000000000003</v>
      </c>
      <c r="J25" s="429">
        <f t="shared" si="5"/>
        <v>223.60000000000002</v>
      </c>
      <c r="K25" s="429">
        <f t="shared" si="5"/>
        <v>276.25000000000006</v>
      </c>
      <c r="L25" s="429">
        <f t="shared" si="5"/>
        <v>276.25000000000006</v>
      </c>
      <c r="M25" s="429">
        <f t="shared" si="5"/>
        <v>276.25000000000006</v>
      </c>
      <c r="N25" s="429">
        <f t="shared" ref="N25" si="6">N21*$B$5+SUM(N23:N24)</f>
        <v>153.4</v>
      </c>
      <c r="O25" s="92">
        <v>12</v>
      </c>
      <c r="AF25" s="93"/>
      <c r="AG25" s="87" t="s">
        <v>140</v>
      </c>
      <c r="AH25" s="106"/>
      <c r="AI25" s="34"/>
      <c r="AJ25" s="87"/>
    </row>
    <row r="26" spans="1:36" s="11" customFormat="1" ht="12" x14ac:dyDescent="0.2">
      <c r="A26" s="12" t="s">
        <v>141</v>
      </c>
      <c r="B26" s="13">
        <f t="shared" ref="B26:N26" si="7">-IF(ISBLANK(B119),0,MIN(B$22*$H$10,B$22-$B$7*$H$9))</f>
        <v>0</v>
      </c>
      <c r="C26" s="13">
        <f t="shared" si="7"/>
        <v>0</v>
      </c>
      <c r="D26" s="13">
        <f t="shared" si="7"/>
        <v>-60.2316</v>
      </c>
      <c r="E26" s="13">
        <f t="shared" si="7"/>
        <v>-75.289500000000004</v>
      </c>
      <c r="F26" s="13">
        <f t="shared" si="7"/>
        <v>-75.289500000000004</v>
      </c>
      <c r="G26" s="13">
        <f t="shared" si="7"/>
        <v>0</v>
      </c>
      <c r="H26" s="13">
        <f t="shared" si="7"/>
        <v>0</v>
      </c>
      <c r="I26" s="13">
        <f t="shared" si="7"/>
        <v>0</v>
      </c>
      <c r="J26" s="13">
        <f t="shared" si="7"/>
        <v>-60.2316</v>
      </c>
      <c r="K26" s="13">
        <f t="shared" si="7"/>
        <v>-75.289500000000004</v>
      </c>
      <c r="L26" s="13">
        <f t="shared" si="7"/>
        <v>-75.289500000000004</v>
      </c>
      <c r="M26" s="13">
        <f t="shared" si="7"/>
        <v>-75.289500000000004</v>
      </c>
      <c r="N26" s="13">
        <f t="shared" si="7"/>
        <v>0</v>
      </c>
      <c r="O26" s="90">
        <v>13</v>
      </c>
      <c r="AF26" s="93"/>
      <c r="AG26" s="87" t="s">
        <v>142</v>
      </c>
      <c r="AH26" s="106"/>
      <c r="AI26" s="34"/>
      <c r="AJ26" s="87"/>
    </row>
    <row r="27" spans="1:36" ht="12" x14ac:dyDescent="0.2">
      <c r="A27" s="427" t="s">
        <v>143</v>
      </c>
      <c r="B27" s="13">
        <f t="shared" ref="B27:M27" si="8">SUM(B25:B26)</f>
        <v>328.90000000000003</v>
      </c>
      <c r="C27" s="13">
        <f t="shared" si="8"/>
        <v>328.90000000000003</v>
      </c>
      <c r="D27" s="13">
        <f t="shared" si="8"/>
        <v>163.36840000000001</v>
      </c>
      <c r="E27" s="13">
        <f t="shared" si="8"/>
        <v>200.96050000000005</v>
      </c>
      <c r="F27" s="13">
        <f t="shared" si="8"/>
        <v>200.96050000000005</v>
      </c>
      <c r="G27" s="13">
        <f t="shared" si="8"/>
        <v>328.90000000000003</v>
      </c>
      <c r="H27" s="13">
        <f t="shared" si="8"/>
        <v>328.90000000000003</v>
      </c>
      <c r="I27" s="13">
        <f t="shared" si="8"/>
        <v>328.90000000000003</v>
      </c>
      <c r="J27" s="13">
        <f t="shared" si="8"/>
        <v>163.36840000000001</v>
      </c>
      <c r="K27" s="13">
        <f t="shared" si="8"/>
        <v>200.96050000000005</v>
      </c>
      <c r="L27" s="13">
        <f t="shared" si="8"/>
        <v>200.96050000000005</v>
      </c>
      <c r="M27" s="13">
        <f t="shared" si="8"/>
        <v>200.96050000000005</v>
      </c>
      <c r="N27" s="13">
        <f t="shared" ref="N27" si="9">SUM(N25:N26)</f>
        <v>153.4</v>
      </c>
      <c r="O27" s="92">
        <v>14</v>
      </c>
      <c r="AF27" s="93"/>
      <c r="AG27" s="100"/>
      <c r="AH27" s="34"/>
      <c r="AI27" s="34"/>
      <c r="AJ27" s="87"/>
    </row>
    <row r="28" spans="1:36" s="11" customFormat="1" ht="12" x14ac:dyDescent="0.2">
      <c r="A28" s="12" t="s">
        <v>144</v>
      </c>
      <c r="B28" s="13">
        <f>AVERAGE(L22:M22,B22)</f>
        <v>269.10000000000008</v>
      </c>
      <c r="C28" s="13">
        <f>AVERAGE(M22,B22:C22)</f>
        <v>274.95000000000005</v>
      </c>
      <c r="D28" s="13">
        <f t="shared" ref="D28:N28" si="10">AVERAGE(B22:D22)</f>
        <v>257.40000000000003</v>
      </c>
      <c r="E28" s="13">
        <f t="shared" si="10"/>
        <v>251.55000000000004</v>
      </c>
      <c r="F28" s="13">
        <f t="shared" si="10"/>
        <v>245.70000000000005</v>
      </c>
      <c r="G28" s="13">
        <f t="shared" si="10"/>
        <v>269.10000000000008</v>
      </c>
      <c r="H28" s="13">
        <f t="shared" si="10"/>
        <v>274.95000000000005</v>
      </c>
      <c r="I28" s="13">
        <f t="shared" si="10"/>
        <v>280.8</v>
      </c>
      <c r="J28" s="13">
        <f t="shared" si="10"/>
        <v>257.40000000000003</v>
      </c>
      <c r="K28" s="13">
        <f t="shared" si="10"/>
        <v>251.55000000000004</v>
      </c>
      <c r="L28" s="13">
        <f t="shared" si="10"/>
        <v>245.70000000000005</v>
      </c>
      <c r="M28" s="13">
        <f t="shared" si="10"/>
        <v>263.25000000000006</v>
      </c>
      <c r="N28" s="13">
        <f t="shared" si="10"/>
        <v>222.30000000000004</v>
      </c>
      <c r="O28" s="90">
        <v>15</v>
      </c>
      <c r="AF28" s="93"/>
      <c r="AG28" s="630" t="s">
        <v>258</v>
      </c>
      <c r="AH28" s="631"/>
      <c r="AI28" s="435" t="s">
        <v>146</v>
      </c>
      <c r="AJ28" s="87"/>
    </row>
    <row r="29" spans="1:36" s="11" customFormat="1" ht="12" x14ac:dyDescent="0.2">
      <c r="A29" s="151" t="s">
        <v>147</v>
      </c>
      <c r="B29" s="430"/>
      <c r="C29" s="156"/>
      <c r="D29" s="156"/>
      <c r="E29" s="156"/>
      <c r="F29" s="156"/>
      <c r="G29" s="156"/>
      <c r="H29" s="156"/>
      <c r="I29" s="156"/>
      <c r="J29" s="156"/>
      <c r="K29" s="156"/>
      <c r="L29" s="156"/>
      <c r="M29" s="156"/>
      <c r="N29" s="536"/>
      <c r="O29" s="92">
        <v>16</v>
      </c>
      <c r="AF29" s="107" t="s">
        <v>148</v>
      </c>
      <c r="AG29" s="436" t="s">
        <v>149</v>
      </c>
      <c r="AH29" s="437">
        <f>HLOOKUP($AH$20,$B$14:$O$67,O50,FALSE)</f>
        <v>0</v>
      </c>
      <c r="AI29" s="437"/>
      <c r="AJ29" s="87"/>
    </row>
    <row r="30" spans="1:36" s="11" customFormat="1" ht="12" x14ac:dyDescent="0.2">
      <c r="A30" s="12" t="s">
        <v>150</v>
      </c>
      <c r="B30" s="13">
        <f t="shared" ref="B30:N30" si="11">IF(ISBLANK(B119),0,$B$11)</f>
        <v>0</v>
      </c>
      <c r="C30" s="13">
        <f t="shared" si="11"/>
        <v>0</v>
      </c>
      <c r="D30" s="13">
        <f t="shared" si="11"/>
        <v>2.6</v>
      </c>
      <c r="E30" s="13">
        <f t="shared" si="11"/>
        <v>2.6</v>
      </c>
      <c r="F30" s="13">
        <f t="shared" si="11"/>
        <v>2.6</v>
      </c>
      <c r="G30" s="13">
        <f t="shared" si="11"/>
        <v>0</v>
      </c>
      <c r="H30" s="13">
        <f t="shared" si="11"/>
        <v>0</v>
      </c>
      <c r="I30" s="13">
        <f t="shared" si="11"/>
        <v>0</v>
      </c>
      <c r="J30" s="13">
        <f t="shared" si="11"/>
        <v>2.6</v>
      </c>
      <c r="K30" s="13">
        <f t="shared" si="11"/>
        <v>2.6</v>
      </c>
      <c r="L30" s="13">
        <f t="shared" si="11"/>
        <v>2.6</v>
      </c>
      <c r="M30" s="13">
        <f t="shared" si="11"/>
        <v>2.6</v>
      </c>
      <c r="N30" s="13">
        <f t="shared" si="11"/>
        <v>2.6</v>
      </c>
      <c r="O30" s="90">
        <v>17</v>
      </c>
      <c r="AF30" s="43"/>
      <c r="AG30" s="438">
        <v>16</v>
      </c>
      <c r="AH30" s="432">
        <f>IF(AH29-$AG30&lt;0,0,AH29-$AG30)</f>
        <v>0</v>
      </c>
      <c r="AI30" s="432">
        <f>IF(ISERROR(MAX(0,AH22-$AG30/AH23)),0,MAX(0,AH22-$AG30/AH23))</f>
        <v>1.666666666666667</v>
      </c>
      <c r="AJ30" s="87"/>
    </row>
    <row r="31" spans="1:36" s="11" customFormat="1" x14ac:dyDescent="0.2">
      <c r="A31" s="439" t="s">
        <v>151</v>
      </c>
      <c r="B31" s="440"/>
      <c r="C31" s="14"/>
      <c r="D31" s="14"/>
      <c r="E31" s="14"/>
      <c r="F31" s="14"/>
      <c r="G31" s="14"/>
      <c r="H31" s="14"/>
      <c r="I31" s="14"/>
      <c r="J31" s="14"/>
      <c r="K31" s="14"/>
      <c r="L31" s="14"/>
      <c r="M31" s="14"/>
      <c r="N31" s="537"/>
      <c r="O31" s="92">
        <v>18</v>
      </c>
      <c r="AF31" s="107" t="s">
        <v>152</v>
      </c>
      <c r="AG31" s="436" t="s">
        <v>149</v>
      </c>
      <c r="AH31" s="437">
        <f>HLOOKUP($AH$20,$B$14:$O$67,O52,FALSE)</f>
        <v>20</v>
      </c>
      <c r="AI31" s="437"/>
      <c r="AJ31" s="87"/>
    </row>
    <row r="32" spans="1:36" s="11" customFormat="1" thickBot="1" x14ac:dyDescent="0.25">
      <c r="A32" s="412" t="s">
        <v>153</v>
      </c>
      <c r="B32" s="425">
        <v>1</v>
      </c>
      <c r="C32" s="425">
        <v>1</v>
      </c>
      <c r="D32" s="425">
        <v>1</v>
      </c>
      <c r="E32" s="425">
        <v>1</v>
      </c>
      <c r="F32" s="425">
        <v>1</v>
      </c>
      <c r="G32" s="425">
        <v>1</v>
      </c>
      <c r="H32" s="425">
        <v>1</v>
      </c>
      <c r="I32" s="425">
        <v>1</v>
      </c>
      <c r="J32" s="425">
        <v>1</v>
      </c>
      <c r="K32" s="425">
        <v>1</v>
      </c>
      <c r="L32" s="425">
        <v>1</v>
      </c>
      <c r="M32" s="425">
        <v>1</v>
      </c>
      <c r="N32" s="425">
        <v>1</v>
      </c>
      <c r="O32" s="90">
        <v>19</v>
      </c>
      <c r="AF32" s="34"/>
      <c r="AG32" s="441">
        <v>16</v>
      </c>
      <c r="AH32" s="442">
        <f>IF(AH31-$AG32&lt;0,0,AH31-$AG32)</f>
        <v>4</v>
      </c>
      <c r="AI32" s="442">
        <f>IF(ISERROR(MAX(0,AH22-$AG32/AH23)),0,MAX(0,AH22-$AG32/AH23))</f>
        <v>1.666666666666667</v>
      </c>
      <c r="AJ32" s="87"/>
    </row>
    <row r="33" spans="1:41" s="11" customFormat="1" ht="12" x14ac:dyDescent="0.2">
      <c r="A33" s="412" t="s">
        <v>154</v>
      </c>
      <c r="B33" s="443">
        <f t="shared" ref="B33:N33" si="12">B32*0.8</f>
        <v>0.8</v>
      </c>
      <c r="C33" s="443">
        <f t="shared" si="12"/>
        <v>0.8</v>
      </c>
      <c r="D33" s="443">
        <f t="shared" si="12"/>
        <v>0.8</v>
      </c>
      <c r="E33" s="443">
        <f t="shared" si="12"/>
        <v>0.8</v>
      </c>
      <c r="F33" s="443">
        <f t="shared" si="12"/>
        <v>0.8</v>
      </c>
      <c r="G33" s="443">
        <f t="shared" si="12"/>
        <v>0.8</v>
      </c>
      <c r="H33" s="443">
        <f t="shared" si="12"/>
        <v>0.8</v>
      </c>
      <c r="I33" s="443">
        <f t="shared" si="12"/>
        <v>0.8</v>
      </c>
      <c r="J33" s="443">
        <f t="shared" si="12"/>
        <v>0.8</v>
      </c>
      <c r="K33" s="443">
        <f t="shared" si="12"/>
        <v>0.8</v>
      </c>
      <c r="L33" s="443">
        <f t="shared" si="12"/>
        <v>0.8</v>
      </c>
      <c r="M33" s="443">
        <f t="shared" si="12"/>
        <v>0.8</v>
      </c>
      <c r="N33" s="443">
        <f t="shared" si="12"/>
        <v>0.8</v>
      </c>
      <c r="O33" s="92">
        <v>20</v>
      </c>
      <c r="AF33" s="34"/>
      <c r="AG33" s="108" t="s">
        <v>155</v>
      </c>
      <c r="AH33" s="108" t="s">
        <v>156</v>
      </c>
      <c r="AI33" s="108" t="s">
        <v>157</v>
      </c>
      <c r="AJ33" s="87"/>
    </row>
    <row r="34" spans="1:41" s="11" customFormat="1" ht="12" x14ac:dyDescent="0.2">
      <c r="A34" s="445" t="s">
        <v>158</v>
      </c>
      <c r="B34" s="446">
        <f>((B36*$B$171)/$B$2)</f>
        <v>0.70274249189482318</v>
      </c>
      <c r="C34" s="446">
        <f t="shared" ref="C34:N34" si="13">((C36*$B$171)/$B$2)</f>
        <v>0.70274249189482318</v>
      </c>
      <c r="D34" s="446">
        <f t="shared" si="13"/>
        <v>0.70274249189482318</v>
      </c>
      <c r="E34" s="446">
        <f t="shared" si="13"/>
        <v>0.70274249189482318</v>
      </c>
      <c r="F34" s="446">
        <f t="shared" si="13"/>
        <v>0.70274249189482318</v>
      </c>
      <c r="G34" s="446">
        <f t="shared" si="13"/>
        <v>0.70274249189482318</v>
      </c>
      <c r="H34" s="446">
        <f t="shared" si="13"/>
        <v>0.70274249189482318</v>
      </c>
      <c r="I34" s="446">
        <f t="shared" si="13"/>
        <v>0.70274249189482318</v>
      </c>
      <c r="J34" s="446">
        <f t="shared" si="13"/>
        <v>0.70274249189482318</v>
      </c>
      <c r="K34" s="446">
        <f t="shared" si="13"/>
        <v>0.70274249189482318</v>
      </c>
      <c r="L34" s="446">
        <f t="shared" si="13"/>
        <v>0.70274249189482318</v>
      </c>
      <c r="M34" s="446">
        <f t="shared" si="13"/>
        <v>0.70274249189482318</v>
      </c>
      <c r="N34" s="446">
        <f t="shared" si="13"/>
        <v>0.70274249189482318</v>
      </c>
      <c r="O34" s="92"/>
      <c r="AF34" s="43" t="s">
        <v>159</v>
      </c>
      <c r="AG34" s="447">
        <f>SUM(AG30,AG32)</f>
        <v>32</v>
      </c>
      <c r="AH34" s="447">
        <f>SUM(AH29,AH31)</f>
        <v>20</v>
      </c>
      <c r="AI34" s="447">
        <f>MAX(AI29:AI32)</f>
        <v>1.666666666666667</v>
      </c>
      <c r="AJ34" s="87"/>
    </row>
    <row r="35" spans="1:41" s="11" customFormat="1" ht="12" x14ac:dyDescent="0.2">
      <c r="A35" s="538" t="s">
        <v>160</v>
      </c>
      <c r="B35" s="461">
        <f t="shared" ref="B35:N35" si="14">ROUND($B$2*B$32,2)</f>
        <v>7</v>
      </c>
      <c r="C35" s="461">
        <f t="shared" si="14"/>
        <v>7</v>
      </c>
      <c r="D35" s="461">
        <f t="shared" si="14"/>
        <v>7</v>
      </c>
      <c r="E35" s="461">
        <f t="shared" si="14"/>
        <v>7</v>
      </c>
      <c r="F35" s="461">
        <f t="shared" si="14"/>
        <v>7</v>
      </c>
      <c r="G35" s="461">
        <f t="shared" si="14"/>
        <v>7</v>
      </c>
      <c r="H35" s="461">
        <f t="shared" si="14"/>
        <v>7</v>
      </c>
      <c r="I35" s="461">
        <f t="shared" si="14"/>
        <v>7</v>
      </c>
      <c r="J35" s="461">
        <f t="shared" si="14"/>
        <v>7</v>
      </c>
      <c r="K35" s="461">
        <f t="shared" si="14"/>
        <v>7</v>
      </c>
      <c r="L35" s="461">
        <f t="shared" si="14"/>
        <v>7</v>
      </c>
      <c r="M35" s="461">
        <f t="shared" si="14"/>
        <v>7</v>
      </c>
      <c r="N35" s="461">
        <f t="shared" si="14"/>
        <v>7</v>
      </c>
      <c r="O35" s="90">
        <v>21</v>
      </c>
      <c r="AF35" s="43"/>
      <c r="AG35" s="34"/>
      <c r="AH35" s="34"/>
      <c r="AI35" s="34"/>
      <c r="AJ35" s="87"/>
    </row>
    <row r="36" spans="1:41" ht="12" x14ac:dyDescent="0.2">
      <c r="A36" s="539" t="s">
        <v>134</v>
      </c>
      <c r="B36" s="540">
        <f t="shared" ref="B36:N36" si="15">ROUND($B$2*B$33,2)</f>
        <v>5.6</v>
      </c>
      <c r="C36" s="540">
        <f t="shared" si="15"/>
        <v>5.6</v>
      </c>
      <c r="D36" s="540">
        <f t="shared" si="15"/>
        <v>5.6</v>
      </c>
      <c r="E36" s="540">
        <f t="shared" si="15"/>
        <v>5.6</v>
      </c>
      <c r="F36" s="540">
        <f t="shared" si="15"/>
        <v>5.6</v>
      </c>
      <c r="G36" s="540">
        <f t="shared" si="15"/>
        <v>5.6</v>
      </c>
      <c r="H36" s="540">
        <f t="shared" si="15"/>
        <v>5.6</v>
      </c>
      <c r="I36" s="540">
        <f t="shared" si="15"/>
        <v>5.6</v>
      </c>
      <c r="J36" s="540">
        <f t="shared" si="15"/>
        <v>5.6</v>
      </c>
      <c r="K36" s="540">
        <f t="shared" si="15"/>
        <v>5.6</v>
      </c>
      <c r="L36" s="540">
        <f t="shared" si="15"/>
        <v>5.6</v>
      </c>
      <c r="M36" s="540">
        <f t="shared" si="15"/>
        <v>5.6</v>
      </c>
      <c r="N36" s="540">
        <f t="shared" si="15"/>
        <v>5.6</v>
      </c>
      <c r="O36" s="92">
        <v>22</v>
      </c>
      <c r="P36" s="11"/>
      <c r="Q36" s="11"/>
      <c r="R36" s="11"/>
      <c r="S36" s="11"/>
      <c r="T36" s="11"/>
      <c r="U36" s="11"/>
      <c r="V36" s="11"/>
      <c r="W36" s="11"/>
      <c r="X36" s="11"/>
      <c r="Y36" s="11"/>
      <c r="Z36" s="11"/>
      <c r="AA36" s="11"/>
      <c r="AB36" s="11"/>
      <c r="AC36" s="11"/>
      <c r="AD36" s="11"/>
      <c r="AE36" s="11"/>
      <c r="AF36" s="11"/>
      <c r="AG36" s="106" t="s">
        <v>270</v>
      </c>
      <c r="AH36" s="34"/>
      <c r="AI36" s="34"/>
      <c r="AJ36" s="11"/>
      <c r="AK36" s="11"/>
      <c r="AL36" s="11"/>
      <c r="AM36" s="11"/>
      <c r="AN36" s="11"/>
      <c r="AO36" s="11"/>
    </row>
    <row r="37" spans="1:41" ht="12" x14ac:dyDescent="0.2">
      <c r="A37" s="538" t="s">
        <v>162</v>
      </c>
      <c r="B37" s="451">
        <f>B34*$B$2</f>
        <v>4.9191974432637622</v>
      </c>
      <c r="C37" s="451">
        <f t="shared" ref="C37:N37" si="16">C34*$B$2</f>
        <v>4.9191974432637622</v>
      </c>
      <c r="D37" s="451">
        <f t="shared" si="16"/>
        <v>4.9191974432637622</v>
      </c>
      <c r="E37" s="451">
        <f t="shared" si="16"/>
        <v>4.9191974432637622</v>
      </c>
      <c r="F37" s="451">
        <f t="shared" si="16"/>
        <v>4.9191974432637622</v>
      </c>
      <c r="G37" s="451">
        <f t="shared" si="16"/>
        <v>4.9191974432637622</v>
      </c>
      <c r="H37" s="451">
        <f t="shared" si="16"/>
        <v>4.9191974432637622</v>
      </c>
      <c r="I37" s="451">
        <f t="shared" si="16"/>
        <v>4.9191974432637622</v>
      </c>
      <c r="J37" s="451">
        <f t="shared" si="16"/>
        <v>4.9191974432637622</v>
      </c>
      <c r="K37" s="451">
        <f t="shared" si="16"/>
        <v>4.9191974432637622</v>
      </c>
      <c r="L37" s="451">
        <f t="shared" si="16"/>
        <v>4.9191974432637622</v>
      </c>
      <c r="M37" s="451">
        <f t="shared" si="16"/>
        <v>4.9191974432637622</v>
      </c>
      <c r="N37" s="451">
        <f t="shared" si="16"/>
        <v>4.9191974432637622</v>
      </c>
      <c r="O37" s="92"/>
      <c r="P37" s="11"/>
      <c r="Q37" s="11"/>
      <c r="Z37" s="11"/>
      <c r="AA37" s="11"/>
      <c r="AB37" s="11"/>
      <c r="AC37" s="11"/>
      <c r="AD37" s="11"/>
      <c r="AE37" s="11"/>
      <c r="AF37" s="11"/>
      <c r="AG37" s="34"/>
      <c r="AH37" s="34"/>
      <c r="AI37" s="34"/>
      <c r="AJ37" s="11"/>
    </row>
    <row r="38" spans="1:41" ht="12" x14ac:dyDescent="0.2">
      <c r="A38" s="452" t="s">
        <v>163</v>
      </c>
      <c r="B38" s="453"/>
      <c r="C38" s="350"/>
      <c r="D38" s="350"/>
      <c r="E38" s="350"/>
      <c r="F38" s="350"/>
      <c r="G38" s="350"/>
      <c r="H38" s="350"/>
      <c r="I38" s="350"/>
      <c r="J38" s="350"/>
      <c r="K38" s="350"/>
      <c r="L38" s="350"/>
      <c r="M38" s="350"/>
      <c r="N38" s="350"/>
      <c r="O38" s="90">
        <v>23</v>
      </c>
      <c r="AF38" s="34"/>
      <c r="AG38" s="630" t="s">
        <v>164</v>
      </c>
      <c r="AH38" s="631"/>
      <c r="AI38" s="435" t="s">
        <v>146</v>
      </c>
      <c r="AJ38" s="87"/>
    </row>
    <row r="39" spans="1:41" ht="12" x14ac:dyDescent="0.2">
      <c r="A39" s="455" t="s">
        <v>165</v>
      </c>
      <c r="B39" s="456">
        <f t="shared" ref="B39:N39" si="17">IF($B172&gt;=0.9, B$36,B$36*$B172)</f>
        <v>0.98785088781973629</v>
      </c>
      <c r="C39" s="456">
        <f t="shared" si="17"/>
        <v>0.98785088781973629</v>
      </c>
      <c r="D39" s="456">
        <f t="shared" si="17"/>
        <v>0.98785088781973629</v>
      </c>
      <c r="E39" s="456">
        <f t="shared" si="17"/>
        <v>0.98785088781973629</v>
      </c>
      <c r="F39" s="456">
        <f t="shared" si="17"/>
        <v>0.98785088781973629</v>
      </c>
      <c r="G39" s="456">
        <f t="shared" si="17"/>
        <v>0.98785088781973629</v>
      </c>
      <c r="H39" s="456">
        <f t="shared" si="17"/>
        <v>0.98785088781973629</v>
      </c>
      <c r="I39" s="456">
        <f t="shared" si="17"/>
        <v>0.98785088781973629</v>
      </c>
      <c r="J39" s="456">
        <f t="shared" si="17"/>
        <v>0.98785088781973629</v>
      </c>
      <c r="K39" s="456">
        <f t="shared" si="17"/>
        <v>0.98785088781973629</v>
      </c>
      <c r="L39" s="456">
        <f t="shared" si="17"/>
        <v>0.98785088781973629</v>
      </c>
      <c r="M39" s="456">
        <f t="shared" si="17"/>
        <v>0.98785088781973629</v>
      </c>
      <c r="N39" s="456">
        <f t="shared" si="17"/>
        <v>0.98785088781973629</v>
      </c>
      <c r="O39" s="92">
        <v>24</v>
      </c>
      <c r="AF39" s="34"/>
      <c r="AG39" s="436" t="s">
        <v>166</v>
      </c>
      <c r="AH39" s="437">
        <f>HLOOKUP($AH$20,$B$14:$O$67,O55,FALSE)</f>
        <v>0</v>
      </c>
      <c r="AI39" s="437"/>
      <c r="AJ39" s="87"/>
    </row>
    <row r="40" spans="1:41" ht="12" x14ac:dyDescent="0.2">
      <c r="A40" s="455" t="s">
        <v>167</v>
      </c>
      <c r="B40" s="456">
        <f t="shared" ref="B40:N40" si="18">IF($B173&gt;=0.9, B$36,B$36*$B173)</f>
        <v>4.5454432176110222</v>
      </c>
      <c r="C40" s="456">
        <f t="shared" si="18"/>
        <v>4.5454432176110222</v>
      </c>
      <c r="D40" s="456">
        <f t="shared" si="18"/>
        <v>4.5454432176110222</v>
      </c>
      <c r="E40" s="456">
        <f t="shared" si="18"/>
        <v>4.5454432176110222</v>
      </c>
      <c r="F40" s="456">
        <f t="shared" si="18"/>
        <v>4.5454432176110222</v>
      </c>
      <c r="G40" s="456">
        <f t="shared" si="18"/>
        <v>4.5454432176110222</v>
      </c>
      <c r="H40" s="456">
        <f t="shared" si="18"/>
        <v>4.5454432176110222</v>
      </c>
      <c r="I40" s="456">
        <f t="shared" si="18"/>
        <v>4.5454432176110222</v>
      </c>
      <c r="J40" s="456">
        <f t="shared" si="18"/>
        <v>4.5454432176110222</v>
      </c>
      <c r="K40" s="456">
        <f t="shared" si="18"/>
        <v>4.5454432176110222</v>
      </c>
      <c r="L40" s="456">
        <f t="shared" si="18"/>
        <v>4.5454432176110222</v>
      </c>
      <c r="M40" s="456">
        <f t="shared" si="18"/>
        <v>4.5454432176110222</v>
      </c>
      <c r="N40" s="456">
        <f t="shared" si="18"/>
        <v>4.5454432176110222</v>
      </c>
      <c r="O40" s="90">
        <v>25</v>
      </c>
      <c r="AF40" s="34"/>
      <c r="AG40" s="438">
        <v>8</v>
      </c>
      <c r="AH40" s="432">
        <f>IF(AH39-$AG40&lt;0,0,AH39-$AG40)</f>
        <v>0</v>
      </c>
      <c r="AI40" s="432">
        <f>IF(ISERROR((AH40/$AH$52)*$AH$22),0,(AH40/$AH$52)*$AH$22)</f>
        <v>0</v>
      </c>
      <c r="AJ40" s="87"/>
    </row>
    <row r="41" spans="1:41" ht="12" x14ac:dyDescent="0.2">
      <c r="A41" s="455" t="s">
        <v>168</v>
      </c>
      <c r="B41" s="456">
        <f t="shared" ref="B41:N41" si="19">IF($B174&gt;=0.9, B$36,B$36*$B174)</f>
        <v>4.6121491121802647</v>
      </c>
      <c r="C41" s="456">
        <f t="shared" si="19"/>
        <v>4.6121491121802647</v>
      </c>
      <c r="D41" s="456">
        <f t="shared" si="19"/>
        <v>4.6121491121802647</v>
      </c>
      <c r="E41" s="456">
        <f t="shared" si="19"/>
        <v>4.6121491121802647</v>
      </c>
      <c r="F41" s="456">
        <f t="shared" si="19"/>
        <v>4.6121491121802647</v>
      </c>
      <c r="G41" s="456">
        <f t="shared" si="19"/>
        <v>4.6121491121802647</v>
      </c>
      <c r="H41" s="456">
        <f t="shared" si="19"/>
        <v>4.6121491121802647</v>
      </c>
      <c r="I41" s="456">
        <f t="shared" si="19"/>
        <v>4.6121491121802647</v>
      </c>
      <c r="J41" s="456">
        <f t="shared" si="19"/>
        <v>4.6121491121802647</v>
      </c>
      <c r="K41" s="456">
        <f t="shared" si="19"/>
        <v>4.6121491121802647</v>
      </c>
      <c r="L41" s="456">
        <f t="shared" si="19"/>
        <v>4.6121491121802647</v>
      </c>
      <c r="M41" s="456">
        <f t="shared" si="19"/>
        <v>4.6121491121802647</v>
      </c>
      <c r="N41" s="456">
        <f t="shared" si="19"/>
        <v>4.6121491121802647</v>
      </c>
      <c r="O41" s="92">
        <v>26</v>
      </c>
      <c r="AF41" s="34"/>
      <c r="AG41" s="436" t="s">
        <v>169</v>
      </c>
      <c r="AH41" s="437">
        <f>HLOOKUP($AH$20,$B$14:$O$67,O57,FALSE)</f>
        <v>10</v>
      </c>
      <c r="AI41" s="437"/>
      <c r="AJ41" s="87"/>
    </row>
    <row r="42" spans="1:41" ht="12" x14ac:dyDescent="0.2">
      <c r="A42" s="421" t="s">
        <v>170</v>
      </c>
      <c r="B42" s="456">
        <f t="shared" ref="B42:N42" si="20">IF($B175&gt;=0.9, B$36,B$36*$B175)</f>
        <v>4.5454432176110222</v>
      </c>
      <c r="C42" s="456">
        <f t="shared" si="20"/>
        <v>4.5454432176110222</v>
      </c>
      <c r="D42" s="456">
        <f t="shared" si="20"/>
        <v>4.5454432176110222</v>
      </c>
      <c r="E42" s="456">
        <f t="shared" si="20"/>
        <v>4.5454432176110222</v>
      </c>
      <c r="F42" s="456">
        <f t="shared" si="20"/>
        <v>4.5454432176110222</v>
      </c>
      <c r="G42" s="456">
        <f t="shared" si="20"/>
        <v>4.5454432176110222</v>
      </c>
      <c r="H42" s="456">
        <f t="shared" si="20"/>
        <v>4.5454432176110222</v>
      </c>
      <c r="I42" s="456">
        <f t="shared" si="20"/>
        <v>4.5454432176110222</v>
      </c>
      <c r="J42" s="456">
        <f t="shared" si="20"/>
        <v>4.5454432176110222</v>
      </c>
      <c r="K42" s="456">
        <f t="shared" si="20"/>
        <v>4.5454432176110222</v>
      </c>
      <c r="L42" s="456">
        <f t="shared" si="20"/>
        <v>4.5454432176110222</v>
      </c>
      <c r="M42" s="456">
        <f t="shared" si="20"/>
        <v>4.5454432176110222</v>
      </c>
      <c r="N42" s="456">
        <f t="shared" si="20"/>
        <v>4.5454432176110222</v>
      </c>
      <c r="O42" s="90">
        <v>27</v>
      </c>
      <c r="AF42" s="109"/>
      <c r="AG42" s="438">
        <v>6</v>
      </c>
      <c r="AH42" s="432">
        <f>IF(AH41-$AG42&lt;0,0,AH41-$AG42)</f>
        <v>4</v>
      </c>
      <c r="AI42" s="432">
        <f>IF(ISERROR((AH42/$AH$52)*$AH$22),0,(AH42/$AH$52)*$AH$22)</f>
        <v>0.66666666666666663</v>
      </c>
      <c r="AJ42" s="87"/>
    </row>
    <row r="43" spans="1:41" ht="12" x14ac:dyDescent="0.2">
      <c r="A43" s="455" t="s">
        <v>171</v>
      </c>
      <c r="B43" s="456">
        <f t="shared" ref="B43:N43" si="21">IF($B176&gt;=0.9, B$36,B$36*$B176)</f>
        <v>4.6121491121802647</v>
      </c>
      <c r="C43" s="456">
        <f t="shared" si="21"/>
        <v>4.6121491121802647</v>
      </c>
      <c r="D43" s="456">
        <f t="shared" si="21"/>
        <v>4.6121491121802647</v>
      </c>
      <c r="E43" s="456">
        <f t="shared" si="21"/>
        <v>4.6121491121802647</v>
      </c>
      <c r="F43" s="456">
        <f t="shared" si="21"/>
        <v>4.6121491121802647</v>
      </c>
      <c r="G43" s="456">
        <f t="shared" si="21"/>
        <v>4.6121491121802647</v>
      </c>
      <c r="H43" s="456">
        <f t="shared" si="21"/>
        <v>4.6121491121802647</v>
      </c>
      <c r="I43" s="456">
        <f t="shared" si="21"/>
        <v>4.6121491121802647</v>
      </c>
      <c r="J43" s="456">
        <f t="shared" si="21"/>
        <v>4.6121491121802647</v>
      </c>
      <c r="K43" s="456">
        <f t="shared" si="21"/>
        <v>4.6121491121802647</v>
      </c>
      <c r="L43" s="456">
        <f t="shared" si="21"/>
        <v>4.6121491121802647</v>
      </c>
      <c r="M43" s="456">
        <f t="shared" si="21"/>
        <v>4.6121491121802647</v>
      </c>
      <c r="N43" s="456">
        <f t="shared" si="21"/>
        <v>4.6121491121802647</v>
      </c>
      <c r="O43" s="92">
        <v>28</v>
      </c>
      <c r="AF43" s="107"/>
      <c r="AG43" s="436" t="s">
        <v>172</v>
      </c>
      <c r="AH43" s="437">
        <f>HLOOKUP($AH$20,$B$14:$O$67,O59,FALSE)</f>
        <v>4</v>
      </c>
      <c r="AI43" s="437"/>
      <c r="AJ43" s="87"/>
    </row>
    <row r="44" spans="1:41" ht="12" x14ac:dyDescent="0.2">
      <c r="A44" s="455" t="s">
        <v>173</v>
      </c>
      <c r="B44" s="456">
        <f t="shared" ref="B44:N44" si="22">IF(B$13="Deploy",B$36,IF($B177&gt;=0.9, B$36,B$36*$B177))</f>
        <v>5.6</v>
      </c>
      <c r="C44" s="456">
        <f t="shared" si="22"/>
        <v>5.6</v>
      </c>
      <c r="D44" s="456">
        <f t="shared" si="22"/>
        <v>0.98785088781973629</v>
      </c>
      <c r="E44" s="456">
        <f t="shared" si="22"/>
        <v>0.98785088781973629</v>
      </c>
      <c r="F44" s="456">
        <f t="shared" si="22"/>
        <v>0.98785088781973629</v>
      </c>
      <c r="G44" s="456">
        <f t="shared" si="22"/>
        <v>5.6</v>
      </c>
      <c r="H44" s="456">
        <f t="shared" si="22"/>
        <v>5.6</v>
      </c>
      <c r="I44" s="456">
        <f t="shared" si="22"/>
        <v>5.6</v>
      </c>
      <c r="J44" s="456">
        <f t="shared" si="22"/>
        <v>0.98785088781973629</v>
      </c>
      <c r="K44" s="456">
        <f t="shared" si="22"/>
        <v>0.98785088781973629</v>
      </c>
      <c r="L44" s="456">
        <f t="shared" si="22"/>
        <v>0.98785088781973629</v>
      </c>
      <c r="M44" s="456">
        <f t="shared" si="22"/>
        <v>0.98785088781973629</v>
      </c>
      <c r="N44" s="456">
        <f t="shared" si="22"/>
        <v>0.98785088781973629</v>
      </c>
      <c r="O44" s="90">
        <v>29</v>
      </c>
      <c r="AF44" s="107"/>
      <c r="AG44" s="438">
        <v>6</v>
      </c>
      <c r="AH44" s="432">
        <f>IF(AH43-$AG44&lt;0,0,AH43-$AG44)</f>
        <v>0</v>
      </c>
      <c r="AI44" s="432">
        <f>IF(ISERROR((AH44/$AH$52)*$AH$22),0,(AH44/$AH$52)*$AH$22)</f>
        <v>0</v>
      </c>
      <c r="AJ44" s="87"/>
    </row>
    <row r="45" spans="1:41" s="11" customFormat="1" ht="12" x14ac:dyDescent="0.2">
      <c r="A45" s="455" t="s">
        <v>174</v>
      </c>
      <c r="B45" s="456">
        <f t="shared" ref="B45:N45" si="23">IF($B178&gt;=0.9, B$36,B$36*$B178)</f>
        <v>4.6121491121802647</v>
      </c>
      <c r="C45" s="456">
        <f t="shared" si="23"/>
        <v>4.6121491121802647</v>
      </c>
      <c r="D45" s="456">
        <f t="shared" si="23"/>
        <v>4.6121491121802647</v>
      </c>
      <c r="E45" s="456">
        <f t="shared" si="23"/>
        <v>4.6121491121802647</v>
      </c>
      <c r="F45" s="456">
        <f t="shared" si="23"/>
        <v>4.6121491121802647</v>
      </c>
      <c r="G45" s="456">
        <f t="shared" si="23"/>
        <v>4.6121491121802647</v>
      </c>
      <c r="H45" s="456">
        <f t="shared" si="23"/>
        <v>4.6121491121802647</v>
      </c>
      <c r="I45" s="456">
        <f t="shared" si="23"/>
        <v>4.6121491121802647</v>
      </c>
      <c r="J45" s="456">
        <f t="shared" si="23"/>
        <v>4.6121491121802647</v>
      </c>
      <c r="K45" s="456">
        <f t="shared" si="23"/>
        <v>4.6121491121802647</v>
      </c>
      <c r="L45" s="456">
        <f t="shared" si="23"/>
        <v>4.6121491121802647</v>
      </c>
      <c r="M45" s="456">
        <f t="shared" si="23"/>
        <v>4.6121491121802647</v>
      </c>
      <c r="N45" s="456">
        <f t="shared" si="23"/>
        <v>4.6121491121802647</v>
      </c>
      <c r="O45" s="92">
        <v>30</v>
      </c>
      <c r="P45" s="7"/>
      <c r="Q45" s="7"/>
      <c r="R45" s="7"/>
      <c r="S45" s="7"/>
      <c r="T45" s="7"/>
      <c r="U45" s="7"/>
      <c r="V45" s="7"/>
      <c r="W45" s="7"/>
      <c r="X45" s="7"/>
      <c r="Y45" s="7"/>
      <c r="Z45" s="7"/>
      <c r="AA45" s="7"/>
      <c r="AB45" s="7"/>
      <c r="AC45" s="7"/>
      <c r="AD45" s="7"/>
      <c r="AE45" s="7"/>
      <c r="AF45" s="107"/>
      <c r="AG45" s="436" t="s">
        <v>175</v>
      </c>
      <c r="AH45" s="437">
        <f>HLOOKUP($AH$20,$B$14:$O$67,O61,FALSE)</f>
        <v>7</v>
      </c>
      <c r="AI45" s="437"/>
      <c r="AJ45" s="87"/>
      <c r="AK45" s="7"/>
      <c r="AL45" s="7"/>
      <c r="AM45" s="7"/>
      <c r="AN45" s="7"/>
      <c r="AO45" s="7"/>
    </row>
    <row r="46" spans="1:41" s="11" customFormat="1" ht="12" x14ac:dyDescent="0.2">
      <c r="A46" s="457" t="s">
        <v>176</v>
      </c>
      <c r="B46" s="456">
        <f t="shared" ref="B46:N46" si="24">IF(B$13="Deploy",B$36,IF($B179&gt;=0.9, B$36,B$36*$B179))</f>
        <v>5.6</v>
      </c>
      <c r="C46" s="456">
        <f t="shared" si="24"/>
        <v>5.6</v>
      </c>
      <c r="D46" s="456">
        <f t="shared" si="24"/>
        <v>0.98785088781973629</v>
      </c>
      <c r="E46" s="456">
        <f t="shared" si="24"/>
        <v>0.98785088781973629</v>
      </c>
      <c r="F46" s="456">
        <f t="shared" si="24"/>
        <v>0.98785088781973629</v>
      </c>
      <c r="G46" s="456">
        <f t="shared" si="24"/>
        <v>5.6</v>
      </c>
      <c r="H46" s="456">
        <f t="shared" si="24"/>
        <v>5.6</v>
      </c>
      <c r="I46" s="456">
        <f t="shared" si="24"/>
        <v>5.6</v>
      </c>
      <c r="J46" s="456">
        <f t="shared" si="24"/>
        <v>0.98785088781973629</v>
      </c>
      <c r="K46" s="456">
        <f t="shared" si="24"/>
        <v>0.98785088781973629</v>
      </c>
      <c r="L46" s="456">
        <f t="shared" si="24"/>
        <v>0.98785088781973629</v>
      </c>
      <c r="M46" s="456">
        <f t="shared" si="24"/>
        <v>0.98785088781973629</v>
      </c>
      <c r="N46" s="456">
        <f t="shared" si="24"/>
        <v>0.98785088781973629</v>
      </c>
      <c r="O46" s="90">
        <v>31</v>
      </c>
      <c r="P46" s="7"/>
      <c r="Q46" s="7"/>
      <c r="Z46" s="7"/>
      <c r="AA46" s="7"/>
      <c r="AB46" s="7"/>
      <c r="AC46" s="7"/>
      <c r="AD46" s="7"/>
      <c r="AE46" s="7"/>
      <c r="AF46" s="107"/>
      <c r="AG46" s="438">
        <v>7</v>
      </c>
      <c r="AH46" s="432">
        <f>IF(AH45-$AG46&lt;0,0,AH45-$AG46)</f>
        <v>0</v>
      </c>
      <c r="AI46" s="432">
        <f>IF(ISERROR((AH46/$AH$52)*$AH$22),0,(AH46/$AH$52)*$AH$22)</f>
        <v>0</v>
      </c>
      <c r="AJ46" s="87"/>
    </row>
    <row r="47" spans="1:41" s="11" customFormat="1" x14ac:dyDescent="0.2">
      <c r="A47" s="458" t="s">
        <v>177</v>
      </c>
      <c r="B47" s="456">
        <f t="shared" ref="B47:N47" si="25">IF(B$13="Deploy",B$36,IF($B180&gt;=0.9, B$36,B$36*$B180))</f>
        <v>5.6</v>
      </c>
      <c r="C47" s="456">
        <f t="shared" si="25"/>
        <v>5.6</v>
      </c>
      <c r="D47" s="456">
        <f t="shared" si="25"/>
        <v>5.6</v>
      </c>
      <c r="E47" s="456">
        <f t="shared" si="25"/>
        <v>5.6</v>
      </c>
      <c r="F47" s="456">
        <f t="shared" si="25"/>
        <v>5.6</v>
      </c>
      <c r="G47" s="456">
        <f t="shared" si="25"/>
        <v>5.6</v>
      </c>
      <c r="H47" s="456">
        <f t="shared" si="25"/>
        <v>5.6</v>
      </c>
      <c r="I47" s="456">
        <f t="shared" si="25"/>
        <v>5.6</v>
      </c>
      <c r="J47" s="456">
        <f t="shared" si="25"/>
        <v>5.6</v>
      </c>
      <c r="K47" s="456">
        <f t="shared" si="25"/>
        <v>5.6</v>
      </c>
      <c r="L47" s="456">
        <f t="shared" si="25"/>
        <v>5.6</v>
      </c>
      <c r="M47" s="456">
        <f t="shared" si="25"/>
        <v>5.6</v>
      </c>
      <c r="N47" s="456">
        <f t="shared" si="25"/>
        <v>5.6</v>
      </c>
      <c r="O47" s="92">
        <v>32</v>
      </c>
      <c r="AF47" s="107"/>
      <c r="AG47" s="436" t="s">
        <v>178</v>
      </c>
      <c r="AH47" s="437">
        <f>HLOOKUP($AH$20,$B$14:$O$67,O63,FALSE)</f>
        <v>14</v>
      </c>
      <c r="AI47" s="437"/>
      <c r="AJ47" s="34"/>
    </row>
    <row r="48" spans="1:41" s="11" customFormat="1" ht="12" x14ac:dyDescent="0.2">
      <c r="A48" s="459" t="s">
        <v>179</v>
      </c>
      <c r="B48" s="460"/>
      <c r="C48" s="36"/>
      <c r="D48" s="36"/>
      <c r="E48" s="36"/>
      <c r="F48" s="36"/>
      <c r="G48" s="36"/>
      <c r="H48" s="36"/>
      <c r="I48" s="36"/>
      <c r="J48" s="36"/>
      <c r="K48" s="36"/>
      <c r="L48" s="36"/>
      <c r="M48" s="541"/>
      <c r="N48" s="142"/>
      <c r="O48" s="90">
        <v>33</v>
      </c>
      <c r="AF48" s="107"/>
      <c r="AG48" s="438">
        <v>4</v>
      </c>
      <c r="AH48" s="432">
        <f>IF(AH47-$AG48&lt;0,0,AH47-$AG48)</f>
        <v>10</v>
      </c>
      <c r="AI48" s="432">
        <f>IF(ISERROR((AH48/$AH$52)*$AH$22),0,(AH48/$AH$52)*$AH$22)</f>
        <v>1.6666666666666665</v>
      </c>
      <c r="AJ48" s="87"/>
    </row>
    <row r="49" spans="1:36" s="11" customFormat="1" ht="12" x14ac:dyDescent="0.2">
      <c r="A49" s="542" t="s">
        <v>180</v>
      </c>
      <c r="B49" s="464">
        <f>ROUND(3*B$35,0)+3</f>
        <v>24</v>
      </c>
      <c r="C49" s="464">
        <f t="shared" ref="C49:M49" si="26">ROUND(3*C$35,0)+3</f>
        <v>24</v>
      </c>
      <c r="D49" s="464">
        <f t="shared" si="26"/>
        <v>24</v>
      </c>
      <c r="E49" s="464">
        <f t="shared" si="26"/>
        <v>24</v>
      </c>
      <c r="F49" s="464">
        <f t="shared" si="26"/>
        <v>24</v>
      </c>
      <c r="G49" s="464">
        <f t="shared" si="26"/>
        <v>24</v>
      </c>
      <c r="H49" s="464">
        <f t="shared" si="26"/>
        <v>24</v>
      </c>
      <c r="I49" s="464">
        <f t="shared" si="26"/>
        <v>24</v>
      </c>
      <c r="J49" s="464">
        <f t="shared" si="26"/>
        <v>24</v>
      </c>
      <c r="K49" s="464">
        <f t="shared" si="26"/>
        <v>24</v>
      </c>
      <c r="L49" s="464">
        <f t="shared" si="26"/>
        <v>24</v>
      </c>
      <c r="M49" s="464">
        <f t="shared" si="26"/>
        <v>24</v>
      </c>
      <c r="N49" s="464">
        <v>9</v>
      </c>
      <c r="O49" s="92">
        <v>34</v>
      </c>
      <c r="AF49" s="107"/>
      <c r="AG49" s="436" t="s">
        <v>181</v>
      </c>
      <c r="AH49" s="437">
        <f>HLOOKUP($AH$20,$B$14:$O$67,O65,FALSE)</f>
        <v>7</v>
      </c>
      <c r="AI49" s="437"/>
      <c r="AJ49" s="87"/>
    </row>
    <row r="50" spans="1:36" s="11" customFormat="1" thickBot="1" x14ac:dyDescent="0.25">
      <c r="A50" s="542" t="s">
        <v>148</v>
      </c>
      <c r="B50" s="464">
        <f>ROUNDUP(B$35*3,0)-1</f>
        <v>20</v>
      </c>
      <c r="C50" s="464">
        <f t="shared" ref="C50:M50" si="27">ROUNDUP(C$35*3,0)-1</f>
        <v>20</v>
      </c>
      <c r="D50" s="464">
        <f t="shared" si="27"/>
        <v>20</v>
      </c>
      <c r="E50" s="464">
        <f t="shared" si="27"/>
        <v>20</v>
      </c>
      <c r="F50" s="464">
        <f t="shared" si="27"/>
        <v>20</v>
      </c>
      <c r="G50" s="464">
        <f t="shared" si="27"/>
        <v>20</v>
      </c>
      <c r="H50" s="464">
        <f t="shared" si="27"/>
        <v>20</v>
      </c>
      <c r="I50" s="464">
        <f t="shared" si="27"/>
        <v>20</v>
      </c>
      <c r="J50" s="464">
        <f t="shared" si="27"/>
        <v>20</v>
      </c>
      <c r="K50" s="464">
        <f t="shared" si="27"/>
        <v>20</v>
      </c>
      <c r="L50" s="464">
        <f t="shared" si="27"/>
        <v>20</v>
      </c>
      <c r="M50" s="464">
        <f t="shared" si="27"/>
        <v>20</v>
      </c>
      <c r="N50" s="464">
        <v>8</v>
      </c>
      <c r="O50" s="90">
        <v>35</v>
      </c>
      <c r="AF50" s="107"/>
      <c r="AG50" s="441">
        <v>4</v>
      </c>
      <c r="AH50" s="442">
        <f>IF(AH49-$AG50&lt;0,0,AH49-$AG50)</f>
        <v>3</v>
      </c>
      <c r="AI50" s="442">
        <f>IF(ISERROR((AH50/$AH$52)*$AH$22),0,(AH50/$AH$52)*$AH$22)</f>
        <v>0.5</v>
      </c>
      <c r="AJ50" s="87"/>
    </row>
    <row r="51" spans="1:36" s="11" customFormat="1" ht="12" x14ac:dyDescent="0.2">
      <c r="A51" s="529" t="s">
        <v>182</v>
      </c>
      <c r="B51" s="467">
        <f t="shared" ref="B51" si="28">B49+2</f>
        <v>26</v>
      </c>
      <c r="C51" s="467">
        <f t="shared" ref="C51:M51" si="29">C49+2</f>
        <v>26</v>
      </c>
      <c r="D51" s="467">
        <f t="shared" si="29"/>
        <v>26</v>
      </c>
      <c r="E51" s="467">
        <f t="shared" si="29"/>
        <v>26</v>
      </c>
      <c r="F51" s="467">
        <f t="shared" si="29"/>
        <v>26</v>
      </c>
      <c r="G51" s="467">
        <f t="shared" si="29"/>
        <v>26</v>
      </c>
      <c r="H51" s="467">
        <f t="shared" si="29"/>
        <v>26</v>
      </c>
      <c r="I51" s="467">
        <f t="shared" si="29"/>
        <v>26</v>
      </c>
      <c r="J51" s="467">
        <f t="shared" si="29"/>
        <v>26</v>
      </c>
      <c r="K51" s="467">
        <f t="shared" si="29"/>
        <v>26</v>
      </c>
      <c r="L51" s="467">
        <f t="shared" si="29"/>
        <v>26</v>
      </c>
      <c r="M51" s="467">
        <f t="shared" si="29"/>
        <v>26</v>
      </c>
      <c r="N51" s="467">
        <v>9</v>
      </c>
      <c r="O51" s="92">
        <v>36</v>
      </c>
      <c r="AF51" s="107"/>
      <c r="AG51" s="108" t="s">
        <v>155</v>
      </c>
      <c r="AH51" s="108" t="s">
        <v>156</v>
      </c>
      <c r="AI51" s="108" t="s">
        <v>183</v>
      </c>
      <c r="AJ51" s="87"/>
    </row>
    <row r="52" spans="1:36" s="11" customFormat="1" ht="12" x14ac:dyDescent="0.2">
      <c r="A52" s="529" t="s">
        <v>152</v>
      </c>
      <c r="B52" s="467">
        <f>B50</f>
        <v>20</v>
      </c>
      <c r="C52" s="467">
        <f t="shared" ref="C52:M52" si="30">C50</f>
        <v>20</v>
      </c>
      <c r="D52" s="467">
        <f t="shared" si="30"/>
        <v>20</v>
      </c>
      <c r="E52" s="467">
        <f t="shared" si="30"/>
        <v>20</v>
      </c>
      <c r="F52" s="467">
        <f t="shared" si="30"/>
        <v>20</v>
      </c>
      <c r="G52" s="467">
        <f t="shared" si="30"/>
        <v>20</v>
      </c>
      <c r="H52" s="467">
        <f t="shared" si="30"/>
        <v>20</v>
      </c>
      <c r="I52" s="467">
        <f t="shared" si="30"/>
        <v>20</v>
      </c>
      <c r="J52" s="467">
        <f t="shared" si="30"/>
        <v>20</v>
      </c>
      <c r="K52" s="467">
        <f t="shared" si="30"/>
        <v>20</v>
      </c>
      <c r="L52" s="467">
        <f t="shared" si="30"/>
        <v>20</v>
      </c>
      <c r="M52" s="467">
        <f t="shared" si="30"/>
        <v>20</v>
      </c>
      <c r="N52" s="467">
        <f t="shared" ref="N52" si="31">N50</f>
        <v>8</v>
      </c>
      <c r="O52" s="90">
        <v>37</v>
      </c>
      <c r="AF52" s="107"/>
      <c r="AG52" s="447">
        <f>SUM(AG40,AG42,AG44,AG46,AG48,AG50)</f>
        <v>35</v>
      </c>
      <c r="AH52" s="447">
        <f>SUM(AH39,AH41,AH43,AH45,AH47,AH49)</f>
        <v>42</v>
      </c>
      <c r="AI52" s="447">
        <f>SUM(AI39:AI50)</f>
        <v>2.833333333333333</v>
      </c>
      <c r="AJ52" s="87"/>
    </row>
    <row r="53" spans="1:36" s="11" customFormat="1" ht="12" x14ac:dyDescent="0.2">
      <c r="A53" s="469" t="s">
        <v>184</v>
      </c>
      <c r="B53" s="470"/>
      <c r="C53" s="64"/>
      <c r="D53" s="64"/>
      <c r="E53" s="64"/>
      <c r="F53" s="64"/>
      <c r="G53" s="64"/>
      <c r="H53" s="64"/>
      <c r="I53" s="64"/>
      <c r="J53" s="64"/>
      <c r="K53" s="64"/>
      <c r="L53" s="64"/>
      <c r="M53" s="543"/>
      <c r="N53" s="544"/>
      <c r="O53" s="92">
        <v>38</v>
      </c>
      <c r="AF53" s="107" t="s">
        <v>159</v>
      </c>
      <c r="AG53" s="87"/>
      <c r="AH53" s="87"/>
      <c r="AI53" s="87"/>
      <c r="AJ53" s="87"/>
    </row>
    <row r="54" spans="1:36" s="11" customFormat="1" ht="12" x14ac:dyDescent="0.2">
      <c r="A54" s="471" t="s">
        <v>185</v>
      </c>
      <c r="B54" s="472">
        <f t="shared" ref="B54:M54" si="32">ROUND($B124/$B$2*B$35,0)</f>
        <v>14</v>
      </c>
      <c r="C54" s="472">
        <f t="shared" si="32"/>
        <v>14</v>
      </c>
      <c r="D54" s="472">
        <f t="shared" si="32"/>
        <v>14</v>
      </c>
      <c r="E54" s="472">
        <f t="shared" si="32"/>
        <v>14</v>
      </c>
      <c r="F54" s="472">
        <f t="shared" si="32"/>
        <v>14</v>
      </c>
      <c r="G54" s="472">
        <f t="shared" si="32"/>
        <v>14</v>
      </c>
      <c r="H54" s="472">
        <f t="shared" si="32"/>
        <v>14</v>
      </c>
      <c r="I54" s="472">
        <f t="shared" si="32"/>
        <v>14</v>
      </c>
      <c r="J54" s="472">
        <f t="shared" si="32"/>
        <v>14</v>
      </c>
      <c r="K54" s="472">
        <f t="shared" si="32"/>
        <v>14</v>
      </c>
      <c r="L54" s="472">
        <f t="shared" si="32"/>
        <v>14</v>
      </c>
      <c r="M54" s="472">
        <f t="shared" si="32"/>
        <v>14</v>
      </c>
      <c r="N54" s="472">
        <v>5</v>
      </c>
      <c r="O54" s="90">
        <v>39</v>
      </c>
    </row>
    <row r="55" spans="1:36" s="11" customFormat="1" ht="12" x14ac:dyDescent="0.2">
      <c r="A55" s="471" t="s">
        <v>186</v>
      </c>
      <c r="B55" s="472">
        <f t="shared" ref="B55:M55" si="33">ROUND($B125/$B$2*B$35,0)</f>
        <v>10</v>
      </c>
      <c r="C55" s="472">
        <f t="shared" si="33"/>
        <v>10</v>
      </c>
      <c r="D55" s="472">
        <f t="shared" si="33"/>
        <v>10</v>
      </c>
      <c r="E55" s="472">
        <f t="shared" si="33"/>
        <v>10</v>
      </c>
      <c r="F55" s="472">
        <f t="shared" si="33"/>
        <v>10</v>
      </c>
      <c r="G55" s="472">
        <f t="shared" si="33"/>
        <v>10</v>
      </c>
      <c r="H55" s="472">
        <f t="shared" si="33"/>
        <v>10</v>
      </c>
      <c r="I55" s="472">
        <f t="shared" si="33"/>
        <v>10</v>
      </c>
      <c r="J55" s="472">
        <f t="shared" si="33"/>
        <v>10</v>
      </c>
      <c r="K55" s="472">
        <f t="shared" si="33"/>
        <v>10</v>
      </c>
      <c r="L55" s="472">
        <f t="shared" si="33"/>
        <v>10</v>
      </c>
      <c r="M55" s="472">
        <f t="shared" si="33"/>
        <v>10</v>
      </c>
      <c r="N55" s="472">
        <v>4</v>
      </c>
      <c r="O55" s="92">
        <v>40</v>
      </c>
    </row>
    <row r="56" spans="1:36" s="11" customFormat="1" ht="12" x14ac:dyDescent="0.2">
      <c r="A56" s="465" t="s">
        <v>187</v>
      </c>
      <c r="B56" s="474">
        <f t="shared" ref="B56:M56" si="34">ROUND($B126/$B$2*B$35,0)</f>
        <v>8</v>
      </c>
      <c r="C56" s="474">
        <f t="shared" si="34"/>
        <v>8</v>
      </c>
      <c r="D56" s="474">
        <f t="shared" si="34"/>
        <v>8</v>
      </c>
      <c r="E56" s="474">
        <f t="shared" si="34"/>
        <v>8</v>
      </c>
      <c r="F56" s="474">
        <f t="shared" si="34"/>
        <v>8</v>
      </c>
      <c r="G56" s="474">
        <f t="shared" si="34"/>
        <v>8</v>
      </c>
      <c r="H56" s="474">
        <f t="shared" si="34"/>
        <v>8</v>
      </c>
      <c r="I56" s="474">
        <f t="shared" si="34"/>
        <v>8</v>
      </c>
      <c r="J56" s="474">
        <f t="shared" si="34"/>
        <v>8</v>
      </c>
      <c r="K56" s="474">
        <f t="shared" si="34"/>
        <v>8</v>
      </c>
      <c r="L56" s="474">
        <f t="shared" si="34"/>
        <v>8</v>
      </c>
      <c r="M56" s="474">
        <f t="shared" si="34"/>
        <v>8</v>
      </c>
      <c r="N56" s="474">
        <v>0</v>
      </c>
      <c r="O56" s="90">
        <v>41</v>
      </c>
      <c r="R56" s="95"/>
      <c r="S56" s="95"/>
      <c r="T56" s="87"/>
    </row>
    <row r="57" spans="1:36" s="11" customFormat="1" ht="12" x14ac:dyDescent="0.2">
      <c r="A57" s="465" t="s">
        <v>188</v>
      </c>
      <c r="B57" s="474">
        <f t="shared" ref="B57:M57" si="35">ROUND($B127/$B$2*B$35,0)</f>
        <v>4</v>
      </c>
      <c r="C57" s="474">
        <f t="shared" si="35"/>
        <v>4</v>
      </c>
      <c r="D57" s="474">
        <f t="shared" si="35"/>
        <v>4</v>
      </c>
      <c r="E57" s="474">
        <f t="shared" si="35"/>
        <v>4</v>
      </c>
      <c r="F57" s="474">
        <f t="shared" si="35"/>
        <v>4</v>
      </c>
      <c r="G57" s="474">
        <f t="shared" si="35"/>
        <v>4</v>
      </c>
      <c r="H57" s="474">
        <f t="shared" si="35"/>
        <v>4</v>
      </c>
      <c r="I57" s="474">
        <f t="shared" si="35"/>
        <v>4</v>
      </c>
      <c r="J57" s="474">
        <f t="shared" si="35"/>
        <v>4</v>
      </c>
      <c r="K57" s="474">
        <f t="shared" si="35"/>
        <v>4</v>
      </c>
      <c r="L57" s="474">
        <f t="shared" si="35"/>
        <v>4</v>
      </c>
      <c r="M57" s="474">
        <f t="shared" si="35"/>
        <v>4</v>
      </c>
      <c r="N57" s="474">
        <v>0</v>
      </c>
      <c r="O57" s="92">
        <v>42</v>
      </c>
      <c r="P57" s="109"/>
      <c r="Q57" s="116"/>
      <c r="R57" s="87"/>
      <c r="S57" s="87"/>
      <c r="T57" s="87"/>
    </row>
    <row r="58" spans="1:36" s="11" customFormat="1" ht="12" x14ac:dyDescent="0.2">
      <c r="A58" s="471" t="s">
        <v>189</v>
      </c>
      <c r="B58" s="472">
        <f t="shared" ref="B58:M58" si="36">ROUND($B128/$B$2*B$35,0)</f>
        <v>11</v>
      </c>
      <c r="C58" s="472">
        <f t="shared" si="36"/>
        <v>11</v>
      </c>
      <c r="D58" s="472">
        <f t="shared" si="36"/>
        <v>11</v>
      </c>
      <c r="E58" s="472">
        <f t="shared" si="36"/>
        <v>11</v>
      </c>
      <c r="F58" s="472">
        <f t="shared" si="36"/>
        <v>11</v>
      </c>
      <c r="G58" s="472">
        <f t="shared" si="36"/>
        <v>11</v>
      </c>
      <c r="H58" s="472">
        <f t="shared" si="36"/>
        <v>11</v>
      </c>
      <c r="I58" s="472">
        <f t="shared" si="36"/>
        <v>11</v>
      </c>
      <c r="J58" s="472">
        <f t="shared" si="36"/>
        <v>11</v>
      </c>
      <c r="K58" s="472">
        <f t="shared" si="36"/>
        <v>11</v>
      </c>
      <c r="L58" s="472">
        <f t="shared" si="36"/>
        <v>11</v>
      </c>
      <c r="M58" s="472">
        <f t="shared" si="36"/>
        <v>11</v>
      </c>
      <c r="N58" s="472">
        <v>0</v>
      </c>
      <c r="O58" s="90">
        <v>43</v>
      </c>
      <c r="P58" s="87"/>
      <c r="Q58" s="87"/>
      <c r="R58" s="95"/>
      <c r="S58" s="95"/>
      <c r="T58" s="87"/>
    </row>
    <row r="59" spans="1:36" s="11" customFormat="1" ht="12" x14ac:dyDescent="0.2">
      <c r="A59" s="471" t="s">
        <v>190</v>
      </c>
      <c r="B59" s="472">
        <f t="shared" ref="B59:M59" si="37">ROUND($B129/$B$2*B$35,0)</f>
        <v>7</v>
      </c>
      <c r="C59" s="472">
        <f t="shared" si="37"/>
        <v>7</v>
      </c>
      <c r="D59" s="472">
        <f t="shared" si="37"/>
        <v>7</v>
      </c>
      <c r="E59" s="472">
        <f t="shared" si="37"/>
        <v>7</v>
      </c>
      <c r="F59" s="472">
        <f t="shared" si="37"/>
        <v>7</v>
      </c>
      <c r="G59" s="472">
        <f t="shared" si="37"/>
        <v>7</v>
      </c>
      <c r="H59" s="472">
        <f t="shared" si="37"/>
        <v>7</v>
      </c>
      <c r="I59" s="472">
        <f t="shared" si="37"/>
        <v>7</v>
      </c>
      <c r="J59" s="472">
        <f t="shared" si="37"/>
        <v>7</v>
      </c>
      <c r="K59" s="472">
        <f t="shared" si="37"/>
        <v>7</v>
      </c>
      <c r="L59" s="472">
        <f t="shared" si="37"/>
        <v>7</v>
      </c>
      <c r="M59" s="472">
        <f t="shared" si="37"/>
        <v>7</v>
      </c>
      <c r="N59" s="472">
        <v>0</v>
      </c>
      <c r="O59" s="92">
        <v>44</v>
      </c>
      <c r="P59" s="43"/>
      <c r="Q59" s="110"/>
      <c r="R59" s="95"/>
      <c r="S59" s="95"/>
      <c r="T59" s="87"/>
    </row>
    <row r="60" spans="1:36" s="11" customFormat="1" ht="12" x14ac:dyDescent="0.2">
      <c r="A60" s="465" t="s">
        <v>191</v>
      </c>
      <c r="B60" s="474">
        <f t="shared" ref="B60:M60" si="38">ROUND($B130/$B$2*B$35,0)</f>
        <v>18</v>
      </c>
      <c r="C60" s="474">
        <f t="shared" si="38"/>
        <v>18</v>
      </c>
      <c r="D60" s="474">
        <f t="shared" si="38"/>
        <v>18</v>
      </c>
      <c r="E60" s="474">
        <f t="shared" si="38"/>
        <v>18</v>
      </c>
      <c r="F60" s="474">
        <f t="shared" si="38"/>
        <v>18</v>
      </c>
      <c r="G60" s="474">
        <f t="shared" si="38"/>
        <v>18</v>
      </c>
      <c r="H60" s="474">
        <f t="shared" si="38"/>
        <v>18</v>
      </c>
      <c r="I60" s="474">
        <f t="shared" si="38"/>
        <v>18</v>
      </c>
      <c r="J60" s="474">
        <f t="shared" si="38"/>
        <v>18</v>
      </c>
      <c r="K60" s="474">
        <f t="shared" si="38"/>
        <v>18</v>
      </c>
      <c r="L60" s="474">
        <f t="shared" si="38"/>
        <v>18</v>
      </c>
      <c r="M60" s="474">
        <f t="shared" si="38"/>
        <v>18</v>
      </c>
      <c r="N60" s="474">
        <v>5</v>
      </c>
      <c r="O60" s="90">
        <v>45</v>
      </c>
      <c r="P60" s="87"/>
      <c r="Q60" s="110"/>
      <c r="R60" s="95"/>
      <c r="S60" s="87"/>
      <c r="T60" s="87"/>
    </row>
    <row r="61" spans="1:36" s="11" customFormat="1" x14ac:dyDescent="0.2">
      <c r="A61" s="465" t="s">
        <v>192</v>
      </c>
      <c r="B61" s="474">
        <f t="shared" ref="B61:M61" si="39">ROUND($B131/$B$2*B$35,0)</f>
        <v>14</v>
      </c>
      <c r="C61" s="474">
        <f t="shared" si="39"/>
        <v>14</v>
      </c>
      <c r="D61" s="474">
        <f t="shared" si="39"/>
        <v>14</v>
      </c>
      <c r="E61" s="474">
        <f t="shared" si="39"/>
        <v>14</v>
      </c>
      <c r="F61" s="474">
        <f t="shared" si="39"/>
        <v>14</v>
      </c>
      <c r="G61" s="474">
        <f t="shared" si="39"/>
        <v>14</v>
      </c>
      <c r="H61" s="474">
        <f t="shared" si="39"/>
        <v>14</v>
      </c>
      <c r="I61" s="474">
        <f t="shared" si="39"/>
        <v>14</v>
      </c>
      <c r="J61" s="474">
        <f t="shared" si="39"/>
        <v>14</v>
      </c>
      <c r="K61" s="474">
        <f t="shared" si="39"/>
        <v>14</v>
      </c>
      <c r="L61" s="474">
        <f t="shared" si="39"/>
        <v>14</v>
      </c>
      <c r="M61" s="474">
        <f t="shared" si="39"/>
        <v>14</v>
      </c>
      <c r="N61" s="474">
        <v>4</v>
      </c>
      <c r="O61" s="92">
        <v>46</v>
      </c>
      <c r="P61" s="107"/>
      <c r="Q61" s="109"/>
      <c r="R61" s="20"/>
      <c r="T61" s="72"/>
    </row>
    <row r="62" spans="1:36" s="11" customFormat="1" x14ac:dyDescent="0.2">
      <c r="A62" s="471" t="s">
        <v>193</v>
      </c>
      <c r="B62" s="472">
        <f t="shared" ref="B62:M62" si="40">ROUND($B132/$B$2*B$35,0)</f>
        <v>11</v>
      </c>
      <c r="C62" s="472">
        <f t="shared" si="40"/>
        <v>11</v>
      </c>
      <c r="D62" s="472">
        <f t="shared" si="40"/>
        <v>11</v>
      </c>
      <c r="E62" s="472">
        <f t="shared" si="40"/>
        <v>11</v>
      </c>
      <c r="F62" s="472">
        <f t="shared" si="40"/>
        <v>11</v>
      </c>
      <c r="G62" s="472">
        <f t="shared" si="40"/>
        <v>11</v>
      </c>
      <c r="H62" s="472">
        <f t="shared" si="40"/>
        <v>11</v>
      </c>
      <c r="I62" s="472">
        <f t="shared" si="40"/>
        <v>11</v>
      </c>
      <c r="J62" s="472">
        <f t="shared" si="40"/>
        <v>11</v>
      </c>
      <c r="K62" s="472">
        <f t="shared" si="40"/>
        <v>11</v>
      </c>
      <c r="L62" s="472">
        <f t="shared" si="40"/>
        <v>11</v>
      </c>
      <c r="M62" s="472">
        <f t="shared" si="40"/>
        <v>11</v>
      </c>
      <c r="N62" s="472">
        <v>5</v>
      </c>
      <c r="O62" s="90">
        <v>47</v>
      </c>
      <c r="P62" s="109"/>
      <c r="Q62" s="20"/>
      <c r="R62" s="20"/>
      <c r="S62" s="7"/>
      <c r="T62" s="72"/>
    </row>
    <row r="63" spans="1:36" s="11" customFormat="1" x14ac:dyDescent="0.2">
      <c r="A63" s="471" t="s">
        <v>194</v>
      </c>
      <c r="B63" s="472">
        <f t="shared" ref="B63:M63" si="41">ROUND($B133/$B$2*B$35,0)</f>
        <v>7</v>
      </c>
      <c r="C63" s="472">
        <f t="shared" si="41"/>
        <v>7</v>
      </c>
      <c r="D63" s="472">
        <f t="shared" si="41"/>
        <v>7</v>
      </c>
      <c r="E63" s="472">
        <f t="shared" si="41"/>
        <v>7</v>
      </c>
      <c r="F63" s="472">
        <f t="shared" si="41"/>
        <v>7</v>
      </c>
      <c r="G63" s="472">
        <f t="shared" si="41"/>
        <v>7</v>
      </c>
      <c r="H63" s="472">
        <f t="shared" si="41"/>
        <v>7</v>
      </c>
      <c r="I63" s="472">
        <f t="shared" si="41"/>
        <v>7</v>
      </c>
      <c r="J63" s="472">
        <f t="shared" si="41"/>
        <v>7</v>
      </c>
      <c r="K63" s="472">
        <f t="shared" si="41"/>
        <v>7</v>
      </c>
      <c r="L63" s="472">
        <f t="shared" si="41"/>
        <v>7</v>
      </c>
      <c r="M63" s="472">
        <f t="shared" si="41"/>
        <v>7</v>
      </c>
      <c r="N63" s="472">
        <v>4</v>
      </c>
      <c r="O63" s="92">
        <v>48</v>
      </c>
      <c r="P63" s="109"/>
      <c r="Q63" s="20"/>
      <c r="R63" s="7"/>
      <c r="S63" s="7"/>
      <c r="T63" s="72"/>
    </row>
    <row r="64" spans="1:36" s="11" customFormat="1" x14ac:dyDescent="0.2">
      <c r="A64" s="465" t="s">
        <v>195</v>
      </c>
      <c r="B64" s="474">
        <f t="shared" ref="B64:M64" si="42">ROUND($B134/$B$2*B$35,0)</f>
        <v>16</v>
      </c>
      <c r="C64" s="474">
        <f t="shared" si="42"/>
        <v>16</v>
      </c>
      <c r="D64" s="474">
        <f t="shared" si="42"/>
        <v>16</v>
      </c>
      <c r="E64" s="474">
        <f t="shared" si="42"/>
        <v>16</v>
      </c>
      <c r="F64" s="474">
        <f t="shared" si="42"/>
        <v>16</v>
      </c>
      <c r="G64" s="474">
        <f t="shared" si="42"/>
        <v>16</v>
      </c>
      <c r="H64" s="474">
        <f t="shared" si="42"/>
        <v>16</v>
      </c>
      <c r="I64" s="474">
        <f t="shared" si="42"/>
        <v>16</v>
      </c>
      <c r="J64" s="474">
        <f t="shared" si="42"/>
        <v>16</v>
      </c>
      <c r="K64" s="474">
        <f t="shared" si="42"/>
        <v>16</v>
      </c>
      <c r="L64" s="474">
        <f t="shared" si="42"/>
        <v>16</v>
      </c>
      <c r="M64" s="474">
        <f t="shared" si="42"/>
        <v>16</v>
      </c>
      <c r="N64" s="474">
        <v>5</v>
      </c>
      <c r="O64" s="90">
        <v>49</v>
      </c>
      <c r="P64" s="107"/>
      <c r="Q64" s="7"/>
      <c r="R64" s="7"/>
      <c r="S64" s="7"/>
      <c r="T64" s="72"/>
    </row>
    <row r="65" spans="1:46" s="11" customFormat="1" thickBot="1" x14ac:dyDescent="0.25">
      <c r="A65" s="476" t="s">
        <v>196</v>
      </c>
      <c r="B65" s="477">
        <f t="shared" ref="B65:M65" si="43">ROUND($B135/$B$2*B$35,0)</f>
        <v>12</v>
      </c>
      <c r="C65" s="477">
        <f t="shared" si="43"/>
        <v>12</v>
      </c>
      <c r="D65" s="477">
        <f t="shared" si="43"/>
        <v>12</v>
      </c>
      <c r="E65" s="477">
        <f t="shared" si="43"/>
        <v>12</v>
      </c>
      <c r="F65" s="477">
        <f t="shared" si="43"/>
        <v>12</v>
      </c>
      <c r="G65" s="477">
        <f t="shared" si="43"/>
        <v>12</v>
      </c>
      <c r="H65" s="477">
        <f t="shared" si="43"/>
        <v>12</v>
      </c>
      <c r="I65" s="477">
        <f t="shared" si="43"/>
        <v>12</v>
      </c>
      <c r="J65" s="477">
        <f t="shared" si="43"/>
        <v>12</v>
      </c>
      <c r="K65" s="477">
        <f t="shared" si="43"/>
        <v>12</v>
      </c>
      <c r="L65" s="477">
        <f t="shared" si="43"/>
        <v>12</v>
      </c>
      <c r="M65" s="477">
        <f t="shared" si="43"/>
        <v>12</v>
      </c>
      <c r="N65" s="477">
        <v>4</v>
      </c>
      <c r="O65" s="92">
        <v>50</v>
      </c>
      <c r="P65" s="107"/>
      <c r="Q65" s="7"/>
      <c r="R65" s="7"/>
      <c r="S65" s="7"/>
    </row>
    <row r="66" spans="1:46" s="11" customFormat="1" ht="12" x14ac:dyDescent="0.2">
      <c r="A66" s="38" t="s">
        <v>197</v>
      </c>
      <c r="B66" s="65">
        <f t="shared" ref="B66:N67" si="44">SUM(B56,B58,B60,B62,B64,B54)</f>
        <v>78</v>
      </c>
      <c r="C66" s="65">
        <f t="shared" si="44"/>
        <v>78</v>
      </c>
      <c r="D66" s="65">
        <f t="shared" si="44"/>
        <v>78</v>
      </c>
      <c r="E66" s="65">
        <f t="shared" si="44"/>
        <v>78</v>
      </c>
      <c r="F66" s="65">
        <f t="shared" si="44"/>
        <v>78</v>
      </c>
      <c r="G66" s="65">
        <f t="shared" si="44"/>
        <v>78</v>
      </c>
      <c r="H66" s="65">
        <f t="shared" si="44"/>
        <v>78</v>
      </c>
      <c r="I66" s="65">
        <f t="shared" si="44"/>
        <v>78</v>
      </c>
      <c r="J66" s="65">
        <f t="shared" si="44"/>
        <v>78</v>
      </c>
      <c r="K66" s="65">
        <f t="shared" si="44"/>
        <v>78</v>
      </c>
      <c r="L66" s="65">
        <f t="shared" si="44"/>
        <v>78</v>
      </c>
      <c r="M66" s="65">
        <f t="shared" si="44"/>
        <v>78</v>
      </c>
      <c r="N66" s="65">
        <f t="shared" si="44"/>
        <v>20</v>
      </c>
      <c r="O66" s="90">
        <v>51</v>
      </c>
      <c r="P66" s="20"/>
      <c r="Q66" s="7"/>
      <c r="R66" s="7"/>
      <c r="S66" s="7"/>
      <c r="T66" s="7"/>
    </row>
    <row r="67" spans="1:46" s="11" customFormat="1" thickBot="1" x14ac:dyDescent="0.25">
      <c r="A67" s="476" t="s">
        <v>198</v>
      </c>
      <c r="B67" s="478">
        <f t="shared" si="44"/>
        <v>54</v>
      </c>
      <c r="C67" s="478">
        <f t="shared" si="44"/>
        <v>54</v>
      </c>
      <c r="D67" s="478">
        <f t="shared" si="44"/>
        <v>54</v>
      </c>
      <c r="E67" s="478">
        <f t="shared" si="44"/>
        <v>54</v>
      </c>
      <c r="F67" s="478">
        <f t="shared" si="44"/>
        <v>54</v>
      </c>
      <c r="G67" s="478">
        <f t="shared" si="44"/>
        <v>54</v>
      </c>
      <c r="H67" s="478">
        <f t="shared" si="44"/>
        <v>54</v>
      </c>
      <c r="I67" s="478">
        <f t="shared" si="44"/>
        <v>54</v>
      </c>
      <c r="J67" s="478">
        <f t="shared" si="44"/>
        <v>54</v>
      </c>
      <c r="K67" s="478">
        <f t="shared" si="44"/>
        <v>54</v>
      </c>
      <c r="L67" s="478">
        <f t="shared" si="44"/>
        <v>54</v>
      </c>
      <c r="M67" s="478">
        <f t="shared" si="44"/>
        <v>54</v>
      </c>
      <c r="N67" s="478">
        <f t="shared" si="44"/>
        <v>16</v>
      </c>
      <c r="O67" s="92">
        <v>52</v>
      </c>
      <c r="P67" s="20"/>
      <c r="Q67" s="7"/>
      <c r="R67" s="18"/>
      <c r="S67" s="18"/>
      <c r="T67" s="7"/>
    </row>
    <row r="68" spans="1:46" s="11" customFormat="1" x14ac:dyDescent="0.2">
      <c r="A68" s="439" t="s">
        <v>199</v>
      </c>
      <c r="B68" s="545"/>
      <c r="C68" s="16"/>
      <c r="D68" s="16"/>
      <c r="E68" s="16"/>
      <c r="F68" s="16"/>
      <c r="G68" s="16"/>
      <c r="H68" s="16"/>
      <c r="I68" s="16"/>
      <c r="J68" s="16"/>
      <c r="K68" s="16"/>
      <c r="L68" s="16"/>
      <c r="M68" s="16"/>
      <c r="N68" s="154"/>
      <c r="O68" s="90">
        <v>53</v>
      </c>
      <c r="P68" s="7"/>
      <c r="Q68" s="18"/>
      <c r="R68" s="18"/>
      <c r="S68" s="18"/>
      <c r="T68" s="7"/>
    </row>
    <row r="69" spans="1:46" s="11" customFormat="1" ht="12" x14ac:dyDescent="0.2">
      <c r="A69" s="421" t="str">
        <f t="shared" ref="A69:A80" si="45">A105</f>
        <v>Pilot Upper Limit</v>
      </c>
      <c r="B69" s="17">
        <f t="shared" ref="B69:N69" si="46">$B$105</f>
        <v>13</v>
      </c>
      <c r="C69" s="17">
        <f t="shared" si="46"/>
        <v>13</v>
      </c>
      <c r="D69" s="17">
        <f t="shared" si="46"/>
        <v>13</v>
      </c>
      <c r="E69" s="17">
        <f t="shared" si="46"/>
        <v>13</v>
      </c>
      <c r="F69" s="17">
        <f t="shared" si="46"/>
        <v>13</v>
      </c>
      <c r="G69" s="17">
        <f t="shared" si="46"/>
        <v>13</v>
      </c>
      <c r="H69" s="17">
        <f t="shared" si="46"/>
        <v>13</v>
      </c>
      <c r="I69" s="17">
        <f t="shared" si="46"/>
        <v>13</v>
      </c>
      <c r="J69" s="17">
        <f t="shared" si="46"/>
        <v>13</v>
      </c>
      <c r="K69" s="17">
        <f t="shared" si="46"/>
        <v>13</v>
      </c>
      <c r="L69" s="17">
        <f t="shared" si="46"/>
        <v>13</v>
      </c>
      <c r="M69" s="17">
        <f t="shared" si="46"/>
        <v>13</v>
      </c>
      <c r="N69" s="546">
        <f t="shared" si="46"/>
        <v>13</v>
      </c>
      <c r="O69" s="92">
        <v>54</v>
      </c>
      <c r="P69" s="7"/>
      <c r="Q69" s="18"/>
      <c r="R69" s="18"/>
      <c r="S69" s="18"/>
      <c r="T69" s="7"/>
    </row>
    <row r="70" spans="1:46" s="11" customFormat="1" ht="12" x14ac:dyDescent="0.2">
      <c r="A70" s="427" t="str">
        <f t="shared" si="45"/>
        <v>Pilot Lower Limit</v>
      </c>
      <c r="B70" s="481">
        <f>IF(B$99&gt;=90,5,4)</f>
        <v>5</v>
      </c>
      <c r="C70" s="481">
        <f t="shared" ref="C70:N70" si="47">IF(C$99&gt;=90,5,4)</f>
        <v>5</v>
      </c>
      <c r="D70" s="481">
        <f t="shared" si="47"/>
        <v>5</v>
      </c>
      <c r="E70" s="481">
        <f t="shared" si="47"/>
        <v>5</v>
      </c>
      <c r="F70" s="481">
        <f t="shared" si="47"/>
        <v>4</v>
      </c>
      <c r="G70" s="481">
        <f t="shared" si="47"/>
        <v>5</v>
      </c>
      <c r="H70" s="481">
        <f t="shared" si="47"/>
        <v>5</v>
      </c>
      <c r="I70" s="481">
        <f t="shared" si="47"/>
        <v>5</v>
      </c>
      <c r="J70" s="481">
        <f t="shared" si="47"/>
        <v>5</v>
      </c>
      <c r="K70" s="481">
        <f t="shared" si="47"/>
        <v>5</v>
      </c>
      <c r="L70" s="481">
        <f t="shared" si="47"/>
        <v>4</v>
      </c>
      <c r="M70" s="481">
        <f t="shared" si="47"/>
        <v>4</v>
      </c>
      <c r="N70" s="481">
        <f t="shared" si="47"/>
        <v>4</v>
      </c>
      <c r="O70" s="90">
        <v>55</v>
      </c>
      <c r="P70" s="7"/>
      <c r="Q70" s="18"/>
      <c r="R70" s="18"/>
      <c r="S70" s="18"/>
      <c r="T70" s="7"/>
    </row>
    <row r="71" spans="1:46" s="11" customFormat="1" ht="12" x14ac:dyDescent="0.2">
      <c r="A71" s="427" t="str">
        <f t="shared" si="45"/>
        <v>NFO Upper Limit</v>
      </c>
      <c r="B71" s="482">
        <f t="shared" ref="B71:N71" si="48">$B$107</f>
        <v>13</v>
      </c>
      <c r="C71" s="482">
        <f t="shared" si="48"/>
        <v>13</v>
      </c>
      <c r="D71" s="482">
        <f t="shared" si="48"/>
        <v>13</v>
      </c>
      <c r="E71" s="482">
        <f t="shared" si="48"/>
        <v>13</v>
      </c>
      <c r="F71" s="482">
        <f t="shared" si="48"/>
        <v>13</v>
      </c>
      <c r="G71" s="482">
        <f t="shared" si="48"/>
        <v>13</v>
      </c>
      <c r="H71" s="482">
        <f t="shared" si="48"/>
        <v>13</v>
      </c>
      <c r="I71" s="482">
        <f t="shared" si="48"/>
        <v>13</v>
      </c>
      <c r="J71" s="482">
        <f t="shared" si="48"/>
        <v>13</v>
      </c>
      <c r="K71" s="482">
        <f t="shared" si="48"/>
        <v>13</v>
      </c>
      <c r="L71" s="482">
        <f t="shared" si="48"/>
        <v>13</v>
      </c>
      <c r="M71" s="482">
        <f t="shared" si="48"/>
        <v>13</v>
      </c>
      <c r="N71" s="482">
        <f t="shared" si="48"/>
        <v>13</v>
      </c>
      <c r="O71" s="92">
        <v>56</v>
      </c>
      <c r="P71" s="7"/>
      <c r="Q71" s="18"/>
      <c r="T71" s="18"/>
    </row>
    <row r="72" spans="1:46" s="11" customFormat="1" ht="12" x14ac:dyDescent="0.2">
      <c r="A72" s="427" t="str">
        <f t="shared" si="45"/>
        <v>NFO Lower Limit</v>
      </c>
      <c r="B72" s="481">
        <f>IF(B$99&gt;=90,5,4)</f>
        <v>5</v>
      </c>
      <c r="C72" s="481">
        <f t="shared" ref="C72:N72" si="49">IF(C$99&gt;=90,5,4)</f>
        <v>5</v>
      </c>
      <c r="D72" s="481">
        <f t="shared" si="49"/>
        <v>5</v>
      </c>
      <c r="E72" s="481">
        <f t="shared" si="49"/>
        <v>5</v>
      </c>
      <c r="F72" s="481">
        <f t="shared" si="49"/>
        <v>4</v>
      </c>
      <c r="G72" s="481">
        <f t="shared" si="49"/>
        <v>5</v>
      </c>
      <c r="H72" s="481">
        <f t="shared" si="49"/>
        <v>5</v>
      </c>
      <c r="I72" s="481">
        <f t="shared" si="49"/>
        <v>5</v>
      </c>
      <c r="J72" s="481">
        <f t="shared" si="49"/>
        <v>5</v>
      </c>
      <c r="K72" s="481">
        <f t="shared" si="49"/>
        <v>5</v>
      </c>
      <c r="L72" s="481">
        <f t="shared" si="49"/>
        <v>4</v>
      </c>
      <c r="M72" s="481">
        <f t="shared" si="49"/>
        <v>4</v>
      </c>
      <c r="N72" s="481">
        <f t="shared" si="49"/>
        <v>4</v>
      </c>
      <c r="O72" s="90">
        <v>57</v>
      </c>
      <c r="P72" s="18"/>
    </row>
    <row r="73" spans="1:46" s="11" customFormat="1" ht="12" x14ac:dyDescent="0.2">
      <c r="A73" s="427" t="str">
        <f t="shared" si="45"/>
        <v>ACTC Level 5</v>
      </c>
      <c r="B73" s="481">
        <v>1</v>
      </c>
      <c r="C73" s="481">
        <v>1</v>
      </c>
      <c r="D73" s="481">
        <v>1</v>
      </c>
      <c r="E73" s="481">
        <v>1</v>
      </c>
      <c r="F73" s="481">
        <v>1</v>
      </c>
      <c r="G73" s="481">
        <v>1</v>
      </c>
      <c r="H73" s="481">
        <v>1</v>
      </c>
      <c r="I73" s="481">
        <v>1</v>
      </c>
      <c r="J73" s="481">
        <v>1</v>
      </c>
      <c r="K73" s="481">
        <v>1</v>
      </c>
      <c r="L73" s="481">
        <v>1</v>
      </c>
      <c r="M73" s="481">
        <v>1</v>
      </c>
      <c r="N73" s="481">
        <v>2</v>
      </c>
      <c r="O73" s="92">
        <v>58</v>
      </c>
    </row>
    <row r="74" spans="1:46" s="11" customFormat="1" ht="12" x14ac:dyDescent="0.2">
      <c r="A74" s="427" t="str">
        <f t="shared" si="45"/>
        <v>&gt;= ACTC Level 4</v>
      </c>
      <c r="B74" s="481">
        <f t="shared" ref="B74:N74" si="50">ROUNDUP(IF(B$13="Deploy",MAX((B$99/100)*$B110,$B110),(B$99/100)*$B110),0)</f>
        <v>7</v>
      </c>
      <c r="C74" s="481">
        <f t="shared" si="50"/>
        <v>7</v>
      </c>
      <c r="D74" s="481">
        <f t="shared" si="50"/>
        <v>7</v>
      </c>
      <c r="E74" s="481">
        <f t="shared" si="50"/>
        <v>7</v>
      </c>
      <c r="F74" s="481">
        <f t="shared" si="50"/>
        <v>6</v>
      </c>
      <c r="G74" s="481">
        <f t="shared" si="50"/>
        <v>7</v>
      </c>
      <c r="H74" s="481">
        <f t="shared" si="50"/>
        <v>7</v>
      </c>
      <c r="I74" s="481">
        <f t="shared" si="50"/>
        <v>7</v>
      </c>
      <c r="J74" s="481">
        <f t="shared" si="50"/>
        <v>7</v>
      </c>
      <c r="K74" s="481">
        <f t="shared" si="50"/>
        <v>7</v>
      </c>
      <c r="L74" s="481">
        <f t="shared" si="50"/>
        <v>6</v>
      </c>
      <c r="M74" s="481">
        <f t="shared" si="50"/>
        <v>6</v>
      </c>
      <c r="N74" s="481">
        <f t="shared" si="50"/>
        <v>3</v>
      </c>
      <c r="O74" s="90">
        <v>59</v>
      </c>
    </row>
    <row r="75" spans="1:46" s="11" customFormat="1" ht="12" x14ac:dyDescent="0.2">
      <c r="A75" s="427" t="str">
        <f t="shared" si="45"/>
        <v>&gt;= ACTC Level 3</v>
      </c>
      <c r="B75" s="481">
        <f>ROUND(IF(B$13="Deploy",MAX((B$99/100)*$B111,$B111),(B$99/100)*$B111),0)</f>
        <v>13</v>
      </c>
      <c r="C75" s="481">
        <f t="shared" ref="C75:N75" si="51">ROUNDUP(IF(C$13="Deploy",MAX((C$99/100)*$B111,$B111),(C$99/100)*$B111),0)</f>
        <v>13</v>
      </c>
      <c r="D75" s="481">
        <f t="shared" si="51"/>
        <v>12</v>
      </c>
      <c r="E75" s="481">
        <f t="shared" si="51"/>
        <v>12</v>
      </c>
      <c r="F75" s="481">
        <f t="shared" si="51"/>
        <v>11</v>
      </c>
      <c r="G75" s="481">
        <f t="shared" si="51"/>
        <v>13</v>
      </c>
      <c r="H75" s="481">
        <f t="shared" si="51"/>
        <v>13</v>
      </c>
      <c r="I75" s="481">
        <f t="shared" si="51"/>
        <v>13</v>
      </c>
      <c r="J75" s="481">
        <f t="shared" si="51"/>
        <v>13</v>
      </c>
      <c r="K75" s="481">
        <f t="shared" si="51"/>
        <v>12</v>
      </c>
      <c r="L75" s="481">
        <f t="shared" si="51"/>
        <v>11</v>
      </c>
      <c r="M75" s="481">
        <f t="shared" si="51"/>
        <v>11</v>
      </c>
      <c r="N75" s="481">
        <f t="shared" si="51"/>
        <v>5</v>
      </c>
      <c r="O75" s="92">
        <v>60</v>
      </c>
      <c r="AF75" s="7"/>
      <c r="AG75" s="7"/>
      <c r="AH75" s="7"/>
      <c r="AI75" s="7"/>
      <c r="AJ75" s="7"/>
    </row>
    <row r="76" spans="1:46" ht="12" x14ac:dyDescent="0.2">
      <c r="A76" s="427" t="str">
        <f t="shared" si="45"/>
        <v>&gt;= ACTC Level 2</v>
      </c>
      <c r="B76" s="481">
        <f>ROUNDUP(IF(B$13="Deploy",MAX((B$99/100)*$B112,$B112),(B$99/100)*$B112),0)</f>
        <v>20</v>
      </c>
      <c r="C76" s="481">
        <f t="shared" ref="C76:N76" si="52">ROUNDUP(IF(C$13="Deploy",MAX((C$99/100)*$B112,$B112),(C$99/100)*$B112),0)</f>
        <v>20</v>
      </c>
      <c r="D76" s="481">
        <f t="shared" si="52"/>
        <v>19</v>
      </c>
      <c r="E76" s="481">
        <f t="shared" si="52"/>
        <v>19</v>
      </c>
      <c r="F76" s="481">
        <f t="shared" si="52"/>
        <v>17</v>
      </c>
      <c r="G76" s="481">
        <f t="shared" si="52"/>
        <v>20</v>
      </c>
      <c r="H76" s="481">
        <f t="shared" si="52"/>
        <v>20</v>
      </c>
      <c r="I76" s="481">
        <f t="shared" si="52"/>
        <v>20</v>
      </c>
      <c r="J76" s="481">
        <f t="shared" si="52"/>
        <v>19</v>
      </c>
      <c r="K76" s="481">
        <f t="shared" si="52"/>
        <v>19</v>
      </c>
      <c r="L76" s="481">
        <f t="shared" si="52"/>
        <v>17</v>
      </c>
      <c r="M76" s="481">
        <f t="shared" si="52"/>
        <v>16</v>
      </c>
      <c r="N76" s="481">
        <f t="shared" si="52"/>
        <v>8</v>
      </c>
      <c r="O76" s="90">
        <v>61</v>
      </c>
      <c r="P76" s="11"/>
      <c r="Q76" s="11"/>
      <c r="R76" s="11"/>
      <c r="S76" s="11"/>
      <c r="T76" s="11"/>
      <c r="U76" s="11"/>
      <c r="V76" s="11"/>
      <c r="W76" s="11"/>
      <c r="X76" s="11"/>
      <c r="Y76" s="11"/>
      <c r="Z76" s="11"/>
      <c r="AA76" s="11"/>
      <c r="AB76" s="11"/>
      <c r="AC76" s="11"/>
      <c r="AD76" s="11"/>
      <c r="AE76" s="11"/>
    </row>
    <row r="77" spans="1:46" ht="12" x14ac:dyDescent="0.2">
      <c r="A77" s="427" t="str">
        <f t="shared" si="45"/>
        <v>CVW STK Lead</v>
      </c>
      <c r="B77" s="481">
        <f>ROUNDUP(IF(B$13="Deploy",MAX((B$99/100)*$B113,$B113),(B$99/100)*$B113),0)</f>
        <v>1</v>
      </c>
      <c r="C77" s="481">
        <f t="shared" ref="C77:N77" si="53">ROUNDUP(IF(C$13="Deploy",MAX((C$99/100)*$B113,$B113),(C$99/100)*$B113),0)</f>
        <v>1</v>
      </c>
      <c r="D77" s="481">
        <f t="shared" si="53"/>
        <v>1</v>
      </c>
      <c r="E77" s="481">
        <f t="shared" si="53"/>
        <v>1</v>
      </c>
      <c r="F77" s="481">
        <f t="shared" si="53"/>
        <v>1</v>
      </c>
      <c r="G77" s="481">
        <f t="shared" si="53"/>
        <v>1</v>
      </c>
      <c r="H77" s="481">
        <f t="shared" si="53"/>
        <v>1</v>
      </c>
      <c r="I77" s="481">
        <f t="shared" si="53"/>
        <v>1</v>
      </c>
      <c r="J77" s="481">
        <f t="shared" si="53"/>
        <v>1</v>
      </c>
      <c r="K77" s="481">
        <f t="shared" si="53"/>
        <v>1</v>
      </c>
      <c r="L77" s="481">
        <f t="shared" si="53"/>
        <v>1</v>
      </c>
      <c r="M77" s="481">
        <f t="shared" si="53"/>
        <v>1</v>
      </c>
      <c r="N77" s="481">
        <f t="shared" si="53"/>
        <v>1</v>
      </c>
      <c r="O77" s="92">
        <v>62</v>
      </c>
      <c r="P77" s="11"/>
      <c r="Q77" s="11"/>
      <c r="R77" s="11"/>
      <c r="S77" s="11"/>
      <c r="T77" s="11"/>
      <c r="U77" s="11"/>
      <c r="V77" s="11"/>
      <c r="W77" s="11"/>
      <c r="X77" s="11"/>
      <c r="Y77" s="11"/>
      <c r="Z77" s="11"/>
      <c r="AA77" s="11"/>
      <c r="AB77" s="11"/>
      <c r="AC77" s="11"/>
      <c r="AD77" s="11"/>
      <c r="AE77" s="11"/>
      <c r="AF77" s="274"/>
      <c r="AG77" s="274"/>
      <c r="AH77" s="274"/>
      <c r="AI77" s="274"/>
      <c r="AJ77" s="274"/>
    </row>
    <row r="78" spans="1:46" s="263" customFormat="1" x14ac:dyDescent="0.2">
      <c r="A78" s="427" t="str">
        <f t="shared" si="45"/>
        <v>NVD Qualified Aircrew</v>
      </c>
      <c r="B78" s="481">
        <f>ROUNDUP(IF(B$13="Deploy",MAX((B$99/100)*$B114,$B114),(B$99/100)*$B114),0)</f>
        <v>20</v>
      </c>
      <c r="C78" s="481">
        <f t="shared" ref="C78:N78" si="54">ROUNDUP(IF(C$13="Deploy",MAX((C$99/100)*$B114,$B114),(C$99/100)*$B114),0)</f>
        <v>20</v>
      </c>
      <c r="D78" s="481">
        <f t="shared" si="54"/>
        <v>19</v>
      </c>
      <c r="E78" s="481">
        <f t="shared" si="54"/>
        <v>19</v>
      </c>
      <c r="F78" s="481">
        <f t="shared" si="54"/>
        <v>17</v>
      </c>
      <c r="G78" s="481">
        <f t="shared" si="54"/>
        <v>20</v>
      </c>
      <c r="H78" s="481">
        <f t="shared" si="54"/>
        <v>20</v>
      </c>
      <c r="I78" s="481">
        <f t="shared" si="54"/>
        <v>20</v>
      </c>
      <c r="J78" s="481">
        <f t="shared" si="54"/>
        <v>19</v>
      </c>
      <c r="K78" s="481">
        <f t="shared" si="54"/>
        <v>19</v>
      </c>
      <c r="L78" s="481">
        <f t="shared" si="54"/>
        <v>17</v>
      </c>
      <c r="M78" s="481">
        <f t="shared" si="54"/>
        <v>16</v>
      </c>
      <c r="N78" s="481">
        <f t="shared" si="54"/>
        <v>8</v>
      </c>
      <c r="O78" s="90">
        <v>63</v>
      </c>
      <c r="P78" s="11"/>
      <c r="Q78" s="11"/>
      <c r="R78" s="121"/>
      <c r="S78" s="121"/>
      <c r="T78" s="11"/>
      <c r="U78" s="7"/>
      <c r="V78" s="7"/>
      <c r="W78" s="7"/>
      <c r="X78" s="7"/>
      <c r="Y78" s="7"/>
      <c r="Z78" s="7"/>
      <c r="AA78" s="7"/>
      <c r="AB78" s="7"/>
      <c r="AC78" s="7"/>
      <c r="AD78" s="7"/>
      <c r="AE78" s="7"/>
      <c r="AF78" s="278"/>
      <c r="AG78" s="278"/>
      <c r="AH78" s="278"/>
      <c r="AI78" s="278"/>
      <c r="AJ78" s="278"/>
      <c r="AK78" s="274"/>
      <c r="AL78" s="274"/>
      <c r="AM78" s="274"/>
      <c r="AN78" s="274"/>
      <c r="AO78" s="274"/>
      <c r="AP78" s="274"/>
      <c r="AQ78" s="274"/>
      <c r="AR78" s="274"/>
      <c r="AS78" s="274"/>
      <c r="AT78" s="274"/>
    </row>
    <row r="79" spans="1:46" s="278" customFormat="1" x14ac:dyDescent="0.2">
      <c r="A79" s="427" t="str">
        <f t="shared" si="45"/>
        <v>JHMCS</v>
      </c>
      <c r="B79" s="481">
        <f>ROUNDUP(IF(B$13="Deploy",MAX((B$99/100)*$B115,$B115),(B$99/100)*$B115),0)</f>
        <v>20</v>
      </c>
      <c r="C79" s="481">
        <f t="shared" ref="C79:N79" si="55">ROUNDUP(IF(C$13="Deploy",MAX((C$99/100)*$B115,$B115),(C$99/100)*$B115),0)</f>
        <v>20</v>
      </c>
      <c r="D79" s="481">
        <f t="shared" si="55"/>
        <v>19</v>
      </c>
      <c r="E79" s="481">
        <f t="shared" si="55"/>
        <v>19</v>
      </c>
      <c r="F79" s="481">
        <f t="shared" si="55"/>
        <v>17</v>
      </c>
      <c r="G79" s="481">
        <f t="shared" si="55"/>
        <v>20</v>
      </c>
      <c r="H79" s="481">
        <f t="shared" si="55"/>
        <v>20</v>
      </c>
      <c r="I79" s="481">
        <f t="shared" si="55"/>
        <v>20</v>
      </c>
      <c r="J79" s="481">
        <f t="shared" si="55"/>
        <v>19</v>
      </c>
      <c r="K79" s="481">
        <f t="shared" si="55"/>
        <v>19</v>
      </c>
      <c r="L79" s="481">
        <f t="shared" si="55"/>
        <v>17</v>
      </c>
      <c r="M79" s="481">
        <f t="shared" si="55"/>
        <v>16</v>
      </c>
      <c r="N79" s="481">
        <f t="shared" si="55"/>
        <v>8</v>
      </c>
      <c r="O79" s="92">
        <v>64</v>
      </c>
      <c r="P79" s="11"/>
      <c r="Q79" s="121"/>
      <c r="R79" s="299"/>
      <c r="S79" s="299"/>
      <c r="T79" s="11"/>
      <c r="U79" s="7"/>
      <c r="V79" s="7"/>
      <c r="W79" s="7"/>
      <c r="X79" s="7"/>
      <c r="Y79" s="7"/>
      <c r="Z79" s="7"/>
      <c r="AA79" s="7"/>
      <c r="AB79" s="7"/>
      <c r="AC79" s="7"/>
      <c r="AD79" s="7"/>
      <c r="AE79" s="7"/>
      <c r="AF79" s="274"/>
      <c r="AG79" s="274"/>
      <c r="AH79" s="274"/>
      <c r="AI79" s="274"/>
      <c r="AJ79" s="274"/>
    </row>
    <row r="80" spans="1:46" s="263" customFormat="1" ht="12" x14ac:dyDescent="0.2">
      <c r="A80" s="427" t="str">
        <f t="shared" si="45"/>
        <v>Required Skilled Crews</v>
      </c>
      <c r="B80" s="481">
        <f>ROUNDUP(IF(B$13="Deploy",MAX((B$99/100)*$B116,$B116),(B$99/100)*$B116),0)</f>
        <v>11</v>
      </c>
      <c r="C80" s="481">
        <f t="shared" ref="C80:N80" si="56">ROUNDUP(IF(C$13="Deploy",MAX((C$99/100)*$B116,$B116),(C$99/100)*$B116),0)</f>
        <v>11</v>
      </c>
      <c r="D80" s="481">
        <f t="shared" si="56"/>
        <v>11</v>
      </c>
      <c r="E80" s="481">
        <f t="shared" si="56"/>
        <v>11</v>
      </c>
      <c r="F80" s="481">
        <f t="shared" si="56"/>
        <v>9</v>
      </c>
      <c r="G80" s="481">
        <f t="shared" si="56"/>
        <v>11</v>
      </c>
      <c r="H80" s="481">
        <f t="shared" si="56"/>
        <v>11</v>
      </c>
      <c r="I80" s="481">
        <f t="shared" si="56"/>
        <v>11</v>
      </c>
      <c r="J80" s="481">
        <f t="shared" si="56"/>
        <v>11</v>
      </c>
      <c r="K80" s="481">
        <f t="shared" si="56"/>
        <v>11</v>
      </c>
      <c r="L80" s="481">
        <f t="shared" si="56"/>
        <v>9</v>
      </c>
      <c r="M80" s="481">
        <f t="shared" si="56"/>
        <v>9</v>
      </c>
      <c r="N80" s="481">
        <f t="shared" si="56"/>
        <v>5</v>
      </c>
      <c r="O80" s="90">
        <v>65</v>
      </c>
      <c r="P80" s="11"/>
      <c r="Q80" s="298"/>
      <c r="R80" s="300"/>
      <c r="S80" s="300"/>
      <c r="T80" s="299"/>
      <c r="U80" s="299"/>
      <c r="V80" s="299"/>
      <c r="W80" s="299"/>
      <c r="X80" s="299"/>
      <c r="Y80" s="299"/>
      <c r="Z80" s="299"/>
      <c r="AA80" s="299"/>
      <c r="AB80" s="299"/>
      <c r="AC80" s="299"/>
      <c r="AD80" s="274"/>
      <c r="AE80" s="274"/>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547"/>
      <c r="O81" s="297"/>
      <c r="P81" s="298"/>
      <c r="Q81" s="300"/>
      <c r="R81" s="300"/>
      <c r="S81" s="300"/>
      <c r="T81" s="300"/>
      <c r="U81" s="300"/>
      <c r="V81" s="300"/>
      <c r="W81" s="300"/>
      <c r="X81" s="300"/>
      <c r="Y81" s="300"/>
      <c r="Z81" s="300"/>
      <c r="AA81" s="300"/>
      <c r="AB81" s="300"/>
      <c r="AC81" s="300"/>
      <c r="AD81" s="278"/>
      <c r="AE81" s="278"/>
      <c r="AF81" s="278"/>
      <c r="AG81" s="278"/>
      <c r="AH81" s="278"/>
      <c r="AI81" s="278"/>
      <c r="AJ81" s="278"/>
      <c r="AK81" s="274"/>
      <c r="AL81" s="274"/>
      <c r="AM81" s="274"/>
      <c r="AN81" s="274"/>
      <c r="AO81" s="274"/>
      <c r="AP81" s="274"/>
      <c r="AQ81" s="274"/>
      <c r="AR81" s="274"/>
      <c r="AS81" s="274"/>
      <c r="AT81" s="274"/>
    </row>
    <row r="82" spans="1:46" s="278" customFormat="1" ht="12" x14ac:dyDescent="0.2">
      <c r="A82" s="427" t="s">
        <v>203</v>
      </c>
      <c r="B82" s="296">
        <v>0.95</v>
      </c>
      <c r="C82" s="296">
        <v>0.95</v>
      </c>
      <c r="D82" s="296">
        <v>0.95</v>
      </c>
      <c r="E82" s="296">
        <v>0.95</v>
      </c>
      <c r="F82" s="296">
        <v>0.95</v>
      </c>
      <c r="G82" s="296">
        <v>0.95</v>
      </c>
      <c r="H82" s="296">
        <v>0.95</v>
      </c>
      <c r="I82" s="296">
        <v>0.95</v>
      </c>
      <c r="J82" s="296">
        <v>0.95</v>
      </c>
      <c r="K82" s="296">
        <v>0.95</v>
      </c>
      <c r="L82" s="296">
        <v>0.95</v>
      </c>
      <c r="M82" s="296">
        <v>0.95</v>
      </c>
      <c r="N82" s="296">
        <v>0.95</v>
      </c>
      <c r="O82" s="287"/>
      <c r="P82" s="300"/>
      <c r="Q82" s="300"/>
      <c r="R82" s="300"/>
      <c r="S82" s="300"/>
      <c r="T82" s="300"/>
      <c r="U82" s="300"/>
      <c r="V82" s="300"/>
      <c r="W82" s="300"/>
      <c r="X82" s="300"/>
      <c r="Y82" s="300"/>
      <c r="Z82" s="300"/>
      <c r="AA82" s="300"/>
      <c r="AB82" s="300"/>
      <c r="AC82" s="300"/>
      <c r="AD82" s="274"/>
      <c r="AE82" s="274"/>
      <c r="AF82" s="11"/>
      <c r="AG82" s="11"/>
      <c r="AH82" s="11"/>
      <c r="AI82" s="11"/>
      <c r="AJ82" s="11"/>
    </row>
    <row r="83" spans="1:46" s="11" customFormat="1" ht="12" x14ac:dyDescent="0.2">
      <c r="A83" s="427" t="s">
        <v>204</v>
      </c>
      <c r="B83" s="487">
        <v>0.92</v>
      </c>
      <c r="C83" s="487">
        <v>0.92</v>
      </c>
      <c r="D83" s="487">
        <v>0.92</v>
      </c>
      <c r="E83" s="487">
        <v>0.92</v>
      </c>
      <c r="F83" s="487">
        <v>0.92</v>
      </c>
      <c r="G83" s="487">
        <v>0.92</v>
      </c>
      <c r="H83" s="487">
        <v>0.92</v>
      </c>
      <c r="I83" s="487">
        <v>0.92</v>
      </c>
      <c r="J83" s="487">
        <v>0.92</v>
      </c>
      <c r="K83" s="487">
        <v>0.92</v>
      </c>
      <c r="L83" s="487">
        <v>0.92</v>
      </c>
      <c r="M83" s="487">
        <v>0.92</v>
      </c>
      <c r="N83" s="487">
        <v>0.92</v>
      </c>
      <c r="O83" s="287"/>
      <c r="P83" s="300"/>
      <c r="Q83" s="300"/>
      <c r="R83" s="300"/>
      <c r="S83" s="300"/>
      <c r="T83" s="300"/>
      <c r="U83" s="300"/>
      <c r="V83" s="300"/>
      <c r="W83" s="300"/>
      <c r="X83" s="300"/>
      <c r="Y83" s="300"/>
      <c r="Z83" s="300"/>
      <c r="AA83" s="300"/>
      <c r="AB83" s="300"/>
      <c r="AC83" s="300"/>
      <c r="AD83" s="274"/>
      <c r="AE83" s="274"/>
    </row>
    <row r="84" spans="1:46" s="11" customFormat="1"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287"/>
      <c r="P84" s="300"/>
      <c r="Q84" s="300"/>
      <c r="R84" s="121"/>
      <c r="S84" s="121"/>
    </row>
    <row r="85" spans="1:46" s="11" customFormat="1" x14ac:dyDescent="0.2">
      <c r="A85" s="121"/>
      <c r="B85" s="121"/>
      <c r="C85" s="121"/>
      <c r="D85" s="121"/>
      <c r="E85" s="128"/>
      <c r="F85" s="121"/>
      <c r="G85" s="121"/>
      <c r="H85" s="121"/>
      <c r="I85" s="41"/>
      <c r="J85" s="41"/>
      <c r="K85" s="41"/>
      <c r="L85" s="41"/>
      <c r="M85" s="41"/>
      <c r="N85" s="41"/>
      <c r="O85" s="92"/>
      <c r="Q85" s="121"/>
    </row>
    <row r="86" spans="1:46" s="11" customFormat="1" x14ac:dyDescent="0.2">
      <c r="A86" s="113" t="s">
        <v>206</v>
      </c>
      <c r="B86" s="34"/>
      <c r="C86" s="34"/>
      <c r="D86" s="111"/>
      <c r="E86" s="112" t="s">
        <v>207</v>
      </c>
      <c r="F86" s="111"/>
      <c r="G86" s="111"/>
      <c r="H86" s="91"/>
      <c r="I86" s="91"/>
      <c r="J86" s="115"/>
      <c r="K86" s="87"/>
      <c r="L86" s="87"/>
      <c r="M86" s="111"/>
      <c r="N86" s="34"/>
      <c r="O86" s="90"/>
      <c r="R86" s="99"/>
      <c r="S86" s="99"/>
      <c r="T86" s="121"/>
    </row>
    <row r="87" spans="1:46" s="11" customFormat="1" x14ac:dyDescent="0.2">
      <c r="A87" s="96" t="s">
        <v>271</v>
      </c>
      <c r="B87" s="34"/>
      <c r="C87" s="34"/>
      <c r="D87" s="111"/>
      <c r="E87" s="100" t="s">
        <v>209</v>
      </c>
      <c r="F87" s="111"/>
      <c r="G87" s="96" t="s">
        <v>210</v>
      </c>
      <c r="H87" s="91"/>
      <c r="I87" s="91"/>
      <c r="J87" s="109"/>
      <c r="K87" s="117"/>
      <c r="L87" s="87"/>
      <c r="M87" s="111"/>
      <c r="N87" s="111"/>
      <c r="O87" s="86"/>
      <c r="P87" s="121"/>
      <c r="Q87" s="99"/>
      <c r="R87" s="7"/>
      <c r="S87" s="7"/>
      <c r="T87" s="85"/>
    </row>
    <row r="88" spans="1:46" s="11" customFormat="1" x14ac:dyDescent="0.2">
      <c r="A88" s="86"/>
      <c r="B88" s="86"/>
      <c r="C88" s="86"/>
      <c r="D88" s="111"/>
      <c r="E88" s="100" t="s">
        <v>211</v>
      </c>
      <c r="F88" s="111"/>
      <c r="G88" s="118" t="s">
        <v>212</v>
      </c>
      <c r="H88" s="87"/>
      <c r="I88" s="87"/>
      <c r="J88" s="34"/>
      <c r="K88" s="87"/>
      <c r="L88" s="87"/>
      <c r="M88" s="111"/>
      <c r="N88" s="111"/>
      <c r="O88" s="86"/>
      <c r="P88" s="85"/>
      <c r="Q88" s="7"/>
      <c r="R88" s="7"/>
      <c r="S88" s="7"/>
      <c r="T88" s="85"/>
    </row>
    <row r="89" spans="1:46" s="11" customFormat="1" x14ac:dyDescent="0.2">
      <c r="A89" s="86"/>
      <c r="B89" s="111"/>
      <c r="C89" s="111"/>
      <c r="D89" s="111"/>
      <c r="E89" s="100" t="s">
        <v>213</v>
      </c>
      <c r="F89" s="111"/>
      <c r="G89" s="119" t="s">
        <v>214</v>
      </c>
      <c r="H89" s="86"/>
      <c r="I89" s="86"/>
      <c r="J89" s="86"/>
      <c r="K89" s="86"/>
      <c r="L89" s="86"/>
      <c r="M89" s="86"/>
      <c r="N89" s="111"/>
      <c r="O89" s="86"/>
      <c r="P89" s="85"/>
      <c r="Q89" s="7"/>
      <c r="R89" s="7"/>
      <c r="S89" s="7"/>
      <c r="T89" s="7"/>
    </row>
    <row r="90" spans="1:46" s="11" customFormat="1" x14ac:dyDescent="0.2">
      <c r="A90" s="86"/>
      <c r="B90" s="111"/>
      <c r="C90" s="111"/>
      <c r="D90" s="111"/>
      <c r="E90" s="100" t="s">
        <v>215</v>
      </c>
      <c r="F90" s="111"/>
      <c r="G90" s="119" t="s">
        <v>216</v>
      </c>
      <c r="H90" s="96"/>
      <c r="I90" s="111"/>
      <c r="J90" s="100"/>
      <c r="K90" s="111"/>
      <c r="L90" s="72"/>
      <c r="M90" s="119"/>
      <c r="N90" s="111"/>
      <c r="O90" s="86"/>
      <c r="P90" s="7"/>
      <c r="Q90" s="7"/>
      <c r="R90" s="7"/>
      <c r="S90" s="7"/>
      <c r="T90" s="99"/>
    </row>
    <row r="91" spans="1:46" s="11" customFormat="1" x14ac:dyDescent="0.2">
      <c r="A91" s="86"/>
      <c r="B91" s="111"/>
      <c r="C91" s="111"/>
      <c r="D91" s="111"/>
      <c r="E91" s="100"/>
      <c r="F91" s="111"/>
      <c r="G91" s="72"/>
      <c r="H91" s="96"/>
      <c r="I91" s="111"/>
      <c r="J91" s="100"/>
      <c r="K91" s="111"/>
      <c r="L91" s="72"/>
      <c r="M91" s="119"/>
      <c r="N91" s="111"/>
      <c r="O91" s="86"/>
      <c r="P91" s="99"/>
      <c r="Q91" s="7"/>
      <c r="R91" s="7"/>
      <c r="S91" s="7"/>
      <c r="T91" s="7"/>
    </row>
    <row r="92" spans="1:46" s="11" customFormat="1" ht="13.5" thickBot="1" x14ac:dyDescent="0.25">
      <c r="A92" s="96"/>
      <c r="B92" s="111"/>
      <c r="C92" s="111"/>
      <c r="D92" s="111"/>
      <c r="E92" s="100"/>
      <c r="F92" s="111"/>
      <c r="G92" s="72"/>
      <c r="H92" s="118"/>
      <c r="I92" s="111"/>
      <c r="J92" s="100"/>
      <c r="K92" s="111"/>
      <c r="L92" s="72"/>
      <c r="M92" s="119"/>
      <c r="N92" s="87"/>
      <c r="O92" s="86"/>
      <c r="P92" s="7"/>
      <c r="Q92" s="7"/>
      <c r="R92" s="7"/>
      <c r="S92" s="7"/>
      <c r="T92" s="7"/>
      <c r="AF92" s="7"/>
      <c r="AG92" s="7"/>
      <c r="AH92" s="7"/>
      <c r="AI92" s="7"/>
      <c r="AJ92" s="7"/>
    </row>
    <row r="93" spans="1:46" ht="13.5" thickBot="1" x14ac:dyDescent="0.25">
      <c r="A93" s="640" t="s">
        <v>217</v>
      </c>
      <c r="B93" s="641"/>
      <c r="C93" s="641"/>
      <c r="D93" s="641"/>
      <c r="E93" s="641"/>
      <c r="F93" s="641"/>
      <c r="G93" s="641"/>
      <c r="H93" s="641"/>
      <c r="I93" s="641"/>
      <c r="J93" s="641"/>
      <c r="K93" s="641"/>
      <c r="L93" s="641"/>
      <c r="M93" s="641"/>
      <c r="N93" s="642"/>
      <c r="O93" s="86"/>
      <c r="U93" s="11"/>
      <c r="V93" s="11"/>
      <c r="W93" s="11"/>
      <c r="X93" s="11"/>
      <c r="Y93" s="11"/>
      <c r="Z93" s="11"/>
      <c r="AA93" s="11"/>
      <c r="AB93" s="11"/>
      <c r="AC93" s="11"/>
      <c r="AD93" s="11"/>
      <c r="AE93" s="11"/>
    </row>
    <row r="94" spans="1:46" ht="12" x14ac:dyDescent="0.2">
      <c r="A94" s="52" t="s">
        <v>218</v>
      </c>
      <c r="B94" s="53">
        <f t="shared" ref="B94:N94" si="57">MIN(100,B96+$B$100)</f>
        <v>100</v>
      </c>
      <c r="C94" s="53">
        <f t="shared" si="57"/>
        <v>100</v>
      </c>
      <c r="D94" s="53">
        <f t="shared" si="57"/>
        <v>99.65352133915421</v>
      </c>
      <c r="E94" s="53">
        <f t="shared" si="57"/>
        <v>99.65352133915421</v>
      </c>
      <c r="F94" s="53">
        <f t="shared" si="57"/>
        <v>88.65352133915421</v>
      </c>
      <c r="G94" s="53">
        <f t="shared" si="57"/>
        <v>100</v>
      </c>
      <c r="H94" s="53">
        <f t="shared" si="57"/>
        <v>100</v>
      </c>
      <c r="I94" s="53">
        <f t="shared" si="57"/>
        <v>100</v>
      </c>
      <c r="J94" s="53">
        <f t="shared" si="57"/>
        <v>100</v>
      </c>
      <c r="K94" s="53">
        <f t="shared" si="57"/>
        <v>99.65352133915421</v>
      </c>
      <c r="L94" s="53">
        <f t="shared" si="57"/>
        <v>88.65352133915421</v>
      </c>
      <c r="M94" s="53">
        <f t="shared" si="57"/>
        <v>87.65352133915421</v>
      </c>
      <c r="N94" s="60">
        <f t="shared" si="57"/>
        <v>44.65352133915421</v>
      </c>
      <c r="O94" s="86"/>
      <c r="U94" s="11"/>
      <c r="V94" s="11"/>
      <c r="W94" s="11"/>
      <c r="X94" s="11"/>
      <c r="Y94" s="11"/>
      <c r="Z94" s="11"/>
      <c r="AA94" s="11"/>
      <c r="AB94" s="11"/>
      <c r="AC94" s="11"/>
      <c r="AD94" s="11"/>
      <c r="AE94" s="11"/>
      <c r="AF94" s="86"/>
      <c r="AG94" s="86"/>
      <c r="AH94" s="86"/>
      <c r="AI94" s="86"/>
      <c r="AJ94" s="86"/>
    </row>
    <row r="95" spans="1:46" s="86" customFormat="1" x14ac:dyDescent="0.2">
      <c r="A95" s="489" t="s">
        <v>219</v>
      </c>
      <c r="B95" s="490">
        <f t="shared" ref="B95:N95" si="58">MIN(100,B96+$B$101)</f>
        <v>100</v>
      </c>
      <c r="C95" s="490">
        <f t="shared" si="58"/>
        <v>100</v>
      </c>
      <c r="D95" s="490">
        <f t="shared" si="58"/>
        <v>95.826760669577112</v>
      </c>
      <c r="E95" s="490">
        <f t="shared" si="58"/>
        <v>95.826760669577112</v>
      </c>
      <c r="F95" s="490">
        <f t="shared" si="58"/>
        <v>84.826760669577112</v>
      </c>
      <c r="G95" s="490">
        <f t="shared" si="58"/>
        <v>100</v>
      </c>
      <c r="H95" s="490">
        <f t="shared" si="58"/>
        <v>100</v>
      </c>
      <c r="I95" s="490">
        <f t="shared" si="58"/>
        <v>100</v>
      </c>
      <c r="J95" s="490">
        <f t="shared" si="58"/>
        <v>96.826760669577112</v>
      </c>
      <c r="K95" s="490">
        <f t="shared" si="58"/>
        <v>95.826760669577112</v>
      </c>
      <c r="L95" s="490">
        <f t="shared" si="58"/>
        <v>84.826760669577112</v>
      </c>
      <c r="M95" s="490">
        <f t="shared" si="58"/>
        <v>83.826760669577112</v>
      </c>
      <c r="N95" s="492">
        <f t="shared" si="58"/>
        <v>40.826760669577105</v>
      </c>
      <c r="O95" s="85"/>
      <c r="P95" s="7"/>
      <c r="Q95" s="7"/>
      <c r="R95" s="7"/>
      <c r="S95" s="7"/>
      <c r="T95" s="7"/>
      <c r="U95" s="7"/>
      <c r="V95" s="7"/>
      <c r="W95" s="7"/>
      <c r="X95" s="7"/>
      <c r="Y95" s="7"/>
      <c r="Z95" s="7"/>
      <c r="AA95" s="7"/>
      <c r="AB95" s="7"/>
      <c r="AC95" s="7"/>
      <c r="AD95" s="7"/>
      <c r="AE95" s="7"/>
    </row>
    <row r="96" spans="1:46" s="86" customFormat="1" x14ac:dyDescent="0.2">
      <c r="A96" s="489" t="s">
        <v>220</v>
      </c>
      <c r="B96" s="493">
        <v>100</v>
      </c>
      <c r="C96" s="493">
        <v>100</v>
      </c>
      <c r="D96" s="493">
        <v>92</v>
      </c>
      <c r="E96" s="493">
        <v>92</v>
      </c>
      <c r="F96" s="493">
        <v>81</v>
      </c>
      <c r="G96" s="493">
        <v>100</v>
      </c>
      <c r="H96" s="493">
        <v>100</v>
      </c>
      <c r="I96" s="493">
        <v>100</v>
      </c>
      <c r="J96" s="493">
        <v>93</v>
      </c>
      <c r="K96" s="493">
        <v>92</v>
      </c>
      <c r="L96" s="493">
        <v>81</v>
      </c>
      <c r="M96" s="493">
        <v>80</v>
      </c>
      <c r="N96" s="495">
        <v>37</v>
      </c>
      <c r="O96" s="85"/>
      <c r="P96" s="7"/>
      <c r="Q96" s="7"/>
      <c r="R96" s="99"/>
      <c r="S96" s="99"/>
      <c r="T96" s="7"/>
      <c r="U96" s="7"/>
      <c r="V96" s="7"/>
      <c r="W96" s="7"/>
      <c r="X96" s="7"/>
      <c r="Y96" s="7"/>
      <c r="Z96" s="7"/>
      <c r="AA96" s="7"/>
      <c r="AB96" s="7"/>
      <c r="AC96" s="7"/>
      <c r="AD96" s="7"/>
      <c r="AE96" s="7"/>
    </row>
    <row r="97" spans="1:36" s="86" customFormat="1" x14ac:dyDescent="0.2">
      <c r="A97" s="489" t="s">
        <v>221</v>
      </c>
      <c r="B97" s="490">
        <f t="shared" ref="B97:N97" si="59">MIN(80,IF(B13="Deploy",80,MAX(0,B96-$B$101)))</f>
        <v>80</v>
      </c>
      <c r="C97" s="490">
        <f t="shared" si="59"/>
        <v>80</v>
      </c>
      <c r="D97" s="490">
        <f t="shared" si="59"/>
        <v>80</v>
      </c>
      <c r="E97" s="490">
        <f t="shared" si="59"/>
        <v>80</v>
      </c>
      <c r="F97" s="490">
        <f t="shared" si="59"/>
        <v>77.173239330422888</v>
      </c>
      <c r="G97" s="490">
        <f t="shared" si="59"/>
        <v>80</v>
      </c>
      <c r="H97" s="490">
        <f t="shared" si="59"/>
        <v>80</v>
      </c>
      <c r="I97" s="490">
        <f t="shared" si="59"/>
        <v>80</v>
      </c>
      <c r="J97" s="490">
        <f t="shared" si="59"/>
        <v>80</v>
      </c>
      <c r="K97" s="490">
        <f t="shared" si="59"/>
        <v>80</v>
      </c>
      <c r="L97" s="490">
        <f t="shared" si="59"/>
        <v>77.173239330422888</v>
      </c>
      <c r="M97" s="490">
        <f t="shared" si="59"/>
        <v>76.173239330422888</v>
      </c>
      <c r="N97" s="492">
        <f t="shared" si="59"/>
        <v>33.173239330422895</v>
      </c>
      <c r="O97" s="85"/>
      <c r="P97" s="7"/>
      <c r="Q97" s="99"/>
      <c r="R97" s="99"/>
      <c r="S97" s="99"/>
      <c r="T97" s="7"/>
    </row>
    <row r="98" spans="1:36" s="86" customFormat="1" ht="13.5" thickBot="1" x14ac:dyDescent="0.25">
      <c r="A98" s="496" t="s">
        <v>222</v>
      </c>
      <c r="B98" s="497">
        <f t="shared" ref="B98:N98" si="60">MIN(60,IF(B14="Deploy",60,MAX(0,B96-$B$100)))</f>
        <v>60</v>
      </c>
      <c r="C98" s="497">
        <f t="shared" si="60"/>
        <v>60</v>
      </c>
      <c r="D98" s="497">
        <f t="shared" si="60"/>
        <v>60</v>
      </c>
      <c r="E98" s="497">
        <f t="shared" si="60"/>
        <v>60</v>
      </c>
      <c r="F98" s="497">
        <f t="shared" si="60"/>
        <v>60</v>
      </c>
      <c r="G98" s="497">
        <f t="shared" si="60"/>
        <v>60</v>
      </c>
      <c r="H98" s="497">
        <f t="shared" si="60"/>
        <v>60</v>
      </c>
      <c r="I98" s="497">
        <f t="shared" si="60"/>
        <v>60</v>
      </c>
      <c r="J98" s="497">
        <f t="shared" si="60"/>
        <v>60</v>
      </c>
      <c r="K98" s="497">
        <f t="shared" si="60"/>
        <v>60</v>
      </c>
      <c r="L98" s="497">
        <f t="shared" si="60"/>
        <v>60</v>
      </c>
      <c r="M98" s="497">
        <f t="shared" si="60"/>
        <v>60</v>
      </c>
      <c r="N98" s="499">
        <f t="shared" si="60"/>
        <v>29.346478660845786</v>
      </c>
      <c r="O98" s="85"/>
      <c r="P98" s="7"/>
      <c r="Q98" s="99"/>
      <c r="R98" s="7"/>
      <c r="S98" s="7"/>
      <c r="T98" s="7"/>
    </row>
    <row r="99" spans="1:36" s="86" customFormat="1" ht="13.5" thickBot="1" x14ac:dyDescent="0.25">
      <c r="A99" s="144" t="s">
        <v>223</v>
      </c>
      <c r="B99" s="145">
        <v>100</v>
      </c>
      <c r="C99" s="145">
        <v>100</v>
      </c>
      <c r="D99" s="145">
        <v>92</v>
      </c>
      <c r="E99" s="145">
        <v>92</v>
      </c>
      <c r="F99" s="145">
        <v>81</v>
      </c>
      <c r="G99" s="145">
        <v>100</v>
      </c>
      <c r="H99" s="145">
        <v>100</v>
      </c>
      <c r="I99" s="145">
        <v>100</v>
      </c>
      <c r="J99" s="145">
        <v>93</v>
      </c>
      <c r="K99" s="145">
        <v>92</v>
      </c>
      <c r="L99" s="145">
        <v>81</v>
      </c>
      <c r="M99" s="145">
        <v>80</v>
      </c>
      <c r="N99" s="147">
        <v>37</v>
      </c>
      <c r="O99" s="85"/>
      <c r="P99" s="7"/>
      <c r="Q99" s="7"/>
      <c r="R99" s="7"/>
      <c r="S99" s="7"/>
      <c r="T99" s="7"/>
    </row>
    <row r="100" spans="1:36" s="86" customFormat="1" x14ac:dyDescent="0.2">
      <c r="A100" s="123" t="s">
        <v>224</v>
      </c>
      <c r="B100" s="124">
        <f t="array" ref="B100">SQRT(SUM(POWER(AVERAGE(B96:M96)-(B96:M96),2))/COUNT(B96:M96))*1</f>
        <v>7.6535213391542127</v>
      </c>
      <c r="C100" s="7"/>
      <c r="D100" s="7"/>
      <c r="E100" s="7"/>
      <c r="F100" s="7"/>
      <c r="G100" s="7"/>
      <c r="H100" s="7"/>
      <c r="I100" s="7"/>
      <c r="J100" s="7"/>
      <c r="K100" s="7"/>
      <c r="L100" s="7"/>
      <c r="M100" s="7"/>
      <c r="N100" s="7"/>
      <c r="O100" s="85"/>
      <c r="P100" s="7"/>
      <c r="Q100" s="7"/>
      <c r="R100" s="7"/>
      <c r="S100" s="7"/>
      <c r="T100" s="99"/>
    </row>
    <row r="101" spans="1:36" s="86" customFormat="1" ht="13.5" thickBot="1" x14ac:dyDescent="0.25">
      <c r="A101" s="500" t="s">
        <v>225</v>
      </c>
      <c r="B101" s="501">
        <f>B100/2</f>
        <v>3.8267606695771064</v>
      </c>
      <c r="C101" s="7"/>
      <c r="D101" s="7"/>
      <c r="E101" s="7"/>
      <c r="F101" s="7"/>
      <c r="G101" s="7"/>
      <c r="H101" s="7"/>
      <c r="I101" s="7"/>
      <c r="J101" s="7"/>
      <c r="K101" s="7"/>
      <c r="L101" s="7"/>
      <c r="M101" s="7"/>
      <c r="N101" s="7"/>
      <c r="O101" s="85"/>
      <c r="P101" s="99"/>
      <c r="Q101" s="7"/>
      <c r="R101" s="7"/>
      <c r="S101" s="7"/>
      <c r="T101" s="99"/>
    </row>
    <row r="102" spans="1:36" s="86" customFormat="1" ht="13.5" thickBot="1" x14ac:dyDescent="0.25">
      <c r="A102" s="11"/>
      <c r="B102" s="11"/>
      <c r="C102" s="11"/>
      <c r="D102" s="11"/>
      <c r="E102" s="11"/>
      <c r="F102" s="11"/>
      <c r="G102" s="11"/>
      <c r="H102" s="11"/>
      <c r="I102" s="11"/>
      <c r="J102" s="11"/>
      <c r="K102" s="11"/>
      <c r="L102" s="11"/>
      <c r="M102" s="11"/>
      <c r="N102" s="11"/>
      <c r="O102" s="85"/>
      <c r="P102" s="99"/>
      <c r="Q102" s="7"/>
      <c r="R102" s="7"/>
      <c r="S102" s="7"/>
      <c r="T102" s="7"/>
      <c r="AF102" s="7"/>
      <c r="AG102" s="7"/>
      <c r="AH102" s="7"/>
      <c r="AI102" s="7"/>
      <c r="AJ102" s="7"/>
    </row>
    <row r="103" spans="1:36" ht="13.5" thickBot="1" x14ac:dyDescent="0.25">
      <c r="A103" s="634" t="s">
        <v>226</v>
      </c>
      <c r="B103" s="635"/>
      <c r="C103" s="99"/>
      <c r="D103" s="125"/>
      <c r="E103" s="125"/>
      <c r="F103" s="125"/>
      <c r="G103" s="125"/>
      <c r="H103" s="125"/>
      <c r="I103" s="99"/>
      <c r="J103" s="99"/>
      <c r="K103" s="99"/>
      <c r="L103" s="99"/>
      <c r="M103" s="99"/>
      <c r="N103" s="99"/>
      <c r="U103" s="86"/>
      <c r="V103" s="86"/>
      <c r="W103" s="86"/>
      <c r="X103" s="86"/>
      <c r="Y103" s="86"/>
      <c r="Z103" s="86"/>
      <c r="AA103" s="86"/>
      <c r="AB103" s="86"/>
      <c r="AC103" s="86"/>
      <c r="AD103" s="86"/>
      <c r="AE103" s="86"/>
    </row>
    <row r="104" spans="1:36" ht="13.5" thickBot="1" x14ac:dyDescent="0.25">
      <c r="A104" s="636" t="s">
        <v>227</v>
      </c>
      <c r="B104" s="637"/>
      <c r="C104" s="99"/>
      <c r="D104" s="99"/>
      <c r="E104" s="99"/>
      <c r="F104" s="99"/>
      <c r="G104" s="99"/>
      <c r="H104" s="99"/>
      <c r="I104" s="99"/>
      <c r="J104" s="99"/>
      <c r="K104" s="99"/>
      <c r="L104" s="99"/>
      <c r="M104" s="99"/>
      <c r="N104" s="99"/>
      <c r="U104" s="86"/>
      <c r="V104" s="86"/>
      <c r="W104" s="86"/>
      <c r="X104" s="86"/>
      <c r="Y104" s="86"/>
      <c r="Z104" s="86"/>
      <c r="AA104" s="86"/>
      <c r="AB104" s="86"/>
      <c r="AC104" s="86"/>
      <c r="AD104" s="86"/>
      <c r="AE104" s="86"/>
    </row>
    <row r="105" spans="1:36" ht="13.5" thickTop="1" x14ac:dyDescent="0.2">
      <c r="A105" s="159" t="s">
        <v>228</v>
      </c>
      <c r="B105" s="22">
        <v>13</v>
      </c>
      <c r="D105" s="129"/>
      <c r="E105" s="129"/>
      <c r="F105" s="129"/>
      <c r="G105" s="129"/>
      <c r="H105" s="129"/>
      <c r="I105" s="130"/>
      <c r="J105" s="130"/>
      <c r="K105" s="130"/>
      <c r="L105" s="130"/>
    </row>
    <row r="106" spans="1:36" x14ac:dyDescent="0.2">
      <c r="A106" s="502" t="s">
        <v>229</v>
      </c>
      <c r="B106" s="503">
        <v>7</v>
      </c>
      <c r="D106" s="129"/>
      <c r="E106" s="23"/>
      <c r="F106" s="24"/>
      <c r="G106" s="20"/>
      <c r="H106" s="20"/>
      <c r="I106" s="11"/>
      <c r="J106" s="11"/>
      <c r="K106" s="11"/>
      <c r="L106" s="11"/>
    </row>
    <row r="107" spans="1:36" x14ac:dyDescent="0.2">
      <c r="A107" s="21" t="s">
        <v>230</v>
      </c>
      <c r="B107" s="22">
        <v>13</v>
      </c>
      <c r="D107" s="23"/>
      <c r="E107" s="23"/>
      <c r="F107" s="23"/>
      <c r="G107" s="20"/>
      <c r="H107" s="20"/>
    </row>
    <row r="108" spans="1:36" x14ac:dyDescent="0.2">
      <c r="A108" s="502" t="s">
        <v>231</v>
      </c>
      <c r="B108" s="503">
        <v>7</v>
      </c>
      <c r="D108" s="23"/>
      <c r="E108" s="23"/>
      <c r="F108" s="23"/>
      <c r="G108" s="20"/>
      <c r="H108" s="20"/>
    </row>
    <row r="109" spans="1:36" x14ac:dyDescent="0.2">
      <c r="A109" s="502" t="s">
        <v>232</v>
      </c>
      <c r="B109" s="504" t="s">
        <v>200</v>
      </c>
      <c r="D109" s="15"/>
      <c r="E109" s="15"/>
      <c r="F109" s="23"/>
      <c r="G109" s="20"/>
      <c r="H109" s="20"/>
      <c r="R109" s="99"/>
      <c r="S109" s="99"/>
      <c r="AF109" s="99"/>
      <c r="AG109" s="99"/>
      <c r="AH109" s="99"/>
      <c r="AI109" s="99"/>
      <c r="AJ109" s="99"/>
    </row>
    <row r="110" spans="1:36" s="99" customFormat="1" x14ac:dyDescent="0.2">
      <c r="A110" s="502" t="s">
        <v>233</v>
      </c>
      <c r="B110" s="504">
        <v>7</v>
      </c>
      <c r="C110" s="7"/>
      <c r="D110" s="15"/>
      <c r="E110" s="15"/>
      <c r="F110" s="23"/>
      <c r="G110" s="20"/>
      <c r="H110" s="20"/>
      <c r="I110" s="7"/>
      <c r="J110" s="7"/>
      <c r="K110" s="7"/>
      <c r="L110" s="7"/>
      <c r="M110" s="7"/>
      <c r="N110" s="7"/>
      <c r="O110" s="85"/>
      <c r="P110" s="7"/>
      <c r="R110" s="7"/>
      <c r="S110" s="7"/>
      <c r="T110" s="7"/>
      <c r="U110" s="7"/>
      <c r="V110" s="7"/>
      <c r="W110" s="7"/>
      <c r="X110" s="7"/>
      <c r="Y110" s="7"/>
      <c r="Z110" s="7"/>
      <c r="AA110" s="7"/>
      <c r="AB110" s="7"/>
      <c r="AC110" s="7"/>
      <c r="AD110" s="7"/>
      <c r="AE110" s="7"/>
    </row>
    <row r="111" spans="1:36" s="99" customFormat="1" x14ac:dyDescent="0.2">
      <c r="A111" s="502" t="s">
        <v>234</v>
      </c>
      <c r="B111" s="504">
        <v>13</v>
      </c>
      <c r="C111" s="7"/>
      <c r="D111" s="15"/>
      <c r="E111" s="15"/>
      <c r="F111" s="23"/>
      <c r="G111" s="20"/>
      <c r="H111" s="20"/>
      <c r="I111" s="7"/>
      <c r="J111" s="7"/>
      <c r="K111" s="7"/>
      <c r="L111" s="7"/>
      <c r="M111" s="7"/>
      <c r="N111" s="7"/>
      <c r="O111" s="85"/>
      <c r="P111" s="7"/>
      <c r="Q111" s="7"/>
      <c r="R111" s="7"/>
      <c r="S111" s="7"/>
      <c r="T111" s="7"/>
      <c r="U111" s="7"/>
      <c r="V111" s="7"/>
      <c r="W111" s="7"/>
      <c r="X111" s="7"/>
      <c r="Y111" s="7"/>
      <c r="Z111" s="7"/>
      <c r="AA111" s="7"/>
      <c r="AB111" s="7"/>
      <c r="AC111" s="7"/>
      <c r="AD111" s="7"/>
      <c r="AE111" s="7"/>
      <c r="AF111" s="7"/>
      <c r="AG111" s="7"/>
      <c r="AH111" s="7"/>
      <c r="AI111" s="7"/>
      <c r="AJ111" s="7"/>
    </row>
    <row r="112" spans="1:36" x14ac:dyDescent="0.2">
      <c r="A112" s="502" t="s">
        <v>235</v>
      </c>
      <c r="B112" s="503">
        <v>20</v>
      </c>
      <c r="D112" s="15"/>
      <c r="E112" s="15"/>
      <c r="F112" s="23"/>
      <c r="G112" s="20"/>
      <c r="H112" s="20"/>
      <c r="U112" s="99"/>
      <c r="V112" s="99"/>
      <c r="W112" s="99"/>
      <c r="X112" s="99"/>
      <c r="Y112" s="99"/>
      <c r="Z112" s="99"/>
      <c r="AA112" s="99"/>
      <c r="AB112" s="99"/>
      <c r="AC112" s="99"/>
      <c r="AD112" s="99"/>
      <c r="AE112" s="99"/>
    </row>
    <row r="113" spans="1:36" x14ac:dyDescent="0.2">
      <c r="A113" s="502" t="s">
        <v>236</v>
      </c>
      <c r="B113" s="505">
        <v>1</v>
      </c>
      <c r="D113" s="15"/>
      <c r="E113" s="15"/>
      <c r="F113" s="23"/>
      <c r="G113" s="20"/>
      <c r="H113" s="20"/>
      <c r="T113" s="99"/>
      <c r="U113" s="99"/>
      <c r="V113" s="99"/>
      <c r="W113" s="99"/>
      <c r="X113" s="99"/>
      <c r="Y113" s="99"/>
      <c r="Z113" s="99"/>
      <c r="AA113" s="99"/>
      <c r="AB113" s="99"/>
      <c r="AC113" s="99"/>
      <c r="AD113" s="99"/>
      <c r="AE113" s="99"/>
    </row>
    <row r="114" spans="1:36" x14ac:dyDescent="0.2">
      <c r="A114" s="502" t="s">
        <v>237</v>
      </c>
      <c r="B114" s="506">
        <v>20</v>
      </c>
      <c r="C114" s="99"/>
      <c r="D114" s="15"/>
      <c r="E114" s="15"/>
      <c r="F114" s="23"/>
      <c r="G114" s="125"/>
      <c r="H114" s="125"/>
      <c r="I114" s="99"/>
      <c r="J114" s="99"/>
      <c r="K114" s="99"/>
      <c r="L114" s="99"/>
      <c r="M114" s="99"/>
      <c r="N114" s="99"/>
      <c r="P114" s="99"/>
    </row>
    <row r="115" spans="1:36" x14ac:dyDescent="0.2">
      <c r="A115" s="502" t="s">
        <v>201</v>
      </c>
      <c r="B115" s="506">
        <v>20</v>
      </c>
      <c r="D115" s="15"/>
      <c r="E115" s="15"/>
      <c r="F115" s="23"/>
      <c r="G115" s="20"/>
      <c r="H115" s="20"/>
    </row>
    <row r="116" spans="1:36" s="99" customFormat="1" ht="13.5" thickBot="1" x14ac:dyDescent="0.25">
      <c r="A116" s="507" t="s">
        <v>239</v>
      </c>
      <c r="B116" s="508">
        <v>11</v>
      </c>
      <c r="C116" s="7"/>
      <c r="D116" s="15"/>
      <c r="E116" s="15"/>
      <c r="F116" s="126"/>
      <c r="G116" s="20"/>
      <c r="H116" s="20"/>
      <c r="I116" s="7"/>
      <c r="J116" s="7"/>
      <c r="K116" s="7"/>
      <c r="L116" s="7"/>
      <c r="M116" s="7"/>
      <c r="N116" s="7"/>
      <c r="O116" s="85"/>
      <c r="P116" s="7"/>
      <c r="Q116" s="7"/>
      <c r="R116" s="7"/>
      <c r="S116" s="7"/>
      <c r="T116" s="7"/>
      <c r="U116" s="7"/>
      <c r="V116" s="7"/>
      <c r="W116" s="7"/>
      <c r="X116" s="7"/>
      <c r="Y116" s="7"/>
      <c r="Z116" s="7"/>
      <c r="AA116" s="7"/>
      <c r="AB116" s="7"/>
      <c r="AC116" s="7"/>
      <c r="AD116" s="7"/>
      <c r="AE116" s="7"/>
      <c r="AF116" s="7"/>
      <c r="AG116" s="7"/>
      <c r="AH116" s="7"/>
      <c r="AI116" s="7"/>
      <c r="AJ116" s="7"/>
    </row>
    <row r="117" spans="1:36" ht="13.5" thickBot="1" x14ac:dyDescent="0.25"/>
    <row r="118" spans="1:36" ht="13.5" thickBot="1" x14ac:dyDescent="0.25">
      <c r="A118" s="634" t="s">
        <v>240</v>
      </c>
      <c r="B118" s="635"/>
      <c r="U118" s="99"/>
      <c r="V118" s="99"/>
      <c r="W118" s="99"/>
      <c r="X118" s="99"/>
      <c r="Y118" s="99"/>
      <c r="Z118" s="99"/>
      <c r="AA118" s="99"/>
      <c r="AB118" s="99"/>
      <c r="AC118" s="99"/>
      <c r="AD118" s="99"/>
      <c r="AE118" s="99"/>
    </row>
    <row r="119" spans="1:36" x14ac:dyDescent="0.2">
      <c r="A119" s="47" t="s">
        <v>241</v>
      </c>
      <c r="B119" s="48"/>
      <c r="C119" s="48"/>
      <c r="D119" s="48" t="s">
        <v>242</v>
      </c>
      <c r="E119" s="48" t="s">
        <v>242</v>
      </c>
      <c r="F119" s="48" t="s">
        <v>242</v>
      </c>
      <c r="G119" s="48"/>
      <c r="H119" s="48"/>
      <c r="I119" s="48"/>
      <c r="J119" s="48" t="s">
        <v>242</v>
      </c>
      <c r="K119" s="48" t="s">
        <v>242</v>
      </c>
      <c r="L119" s="48" t="s">
        <v>242</v>
      </c>
      <c r="M119" s="48" t="s">
        <v>242</v>
      </c>
      <c r="N119" s="49" t="s">
        <v>242</v>
      </c>
    </row>
    <row r="120" spans="1:36" thickBot="1" x14ac:dyDescent="0.25">
      <c r="A120" s="509" t="s">
        <v>243</v>
      </c>
      <c r="B120" s="510" t="s">
        <v>242</v>
      </c>
      <c r="C120" s="510" t="s">
        <v>242</v>
      </c>
      <c r="D120" s="510"/>
      <c r="E120" s="510"/>
      <c r="F120" s="510"/>
      <c r="G120" s="510" t="s">
        <v>242</v>
      </c>
      <c r="H120" s="510" t="s">
        <v>242</v>
      </c>
      <c r="I120" s="510" t="s">
        <v>242</v>
      </c>
      <c r="J120" s="510"/>
      <c r="K120" s="510"/>
      <c r="L120" s="510"/>
      <c r="M120" s="510"/>
      <c r="N120" s="511"/>
      <c r="O120" s="7"/>
    </row>
    <row r="121" spans="1:36" thickBot="1" x14ac:dyDescent="0.25">
      <c r="O121" s="61"/>
    </row>
    <row r="122" spans="1:36" ht="13.5" thickBot="1" x14ac:dyDescent="0.25">
      <c r="A122" s="634" t="s">
        <v>244</v>
      </c>
      <c r="B122" s="635"/>
      <c r="O122" s="61"/>
    </row>
    <row r="123" spans="1:36" ht="13.5" thickBot="1" x14ac:dyDescent="0.25">
      <c r="A123" s="70" t="s">
        <v>184</v>
      </c>
      <c r="B123" s="71" t="s">
        <v>105</v>
      </c>
      <c r="O123" s="128"/>
    </row>
    <row r="124" spans="1:36" x14ac:dyDescent="0.2">
      <c r="A124" s="38" t="s">
        <v>185</v>
      </c>
      <c r="B124" s="240">
        <v>14</v>
      </c>
      <c r="C124" s="241"/>
    </row>
    <row r="125" spans="1:36" x14ac:dyDescent="0.2">
      <c r="A125" s="465" t="s">
        <v>186</v>
      </c>
      <c r="B125" s="529">
        <v>10</v>
      </c>
      <c r="C125" s="241"/>
    </row>
    <row r="126" spans="1:36" x14ac:dyDescent="0.2">
      <c r="A126" s="462" t="s">
        <v>187</v>
      </c>
      <c r="B126" s="529">
        <v>8</v>
      </c>
      <c r="C126" s="241"/>
    </row>
    <row r="127" spans="1:36" x14ac:dyDescent="0.2">
      <c r="A127" s="462" t="s">
        <v>188</v>
      </c>
      <c r="B127" s="529">
        <v>4</v>
      </c>
      <c r="C127" s="241"/>
    </row>
    <row r="128" spans="1:36" x14ac:dyDescent="0.2">
      <c r="A128" s="465" t="s">
        <v>189</v>
      </c>
      <c r="B128" s="529">
        <v>11</v>
      </c>
      <c r="C128" s="241"/>
    </row>
    <row r="129" spans="1:10" x14ac:dyDescent="0.2">
      <c r="A129" s="465" t="s">
        <v>190</v>
      </c>
      <c r="B129" s="529">
        <v>7</v>
      </c>
      <c r="C129" s="241"/>
    </row>
    <row r="130" spans="1:10" x14ac:dyDescent="0.2">
      <c r="A130" s="462" t="s">
        <v>191</v>
      </c>
      <c r="B130" s="529">
        <v>18</v>
      </c>
      <c r="C130" s="241"/>
    </row>
    <row r="131" spans="1:10" x14ac:dyDescent="0.2">
      <c r="A131" s="462" t="s">
        <v>192</v>
      </c>
      <c r="B131" s="529">
        <v>14</v>
      </c>
      <c r="C131" s="241"/>
    </row>
    <row r="132" spans="1:10" x14ac:dyDescent="0.2">
      <c r="A132" s="465" t="s">
        <v>193</v>
      </c>
      <c r="B132" s="529">
        <v>11</v>
      </c>
      <c r="C132" s="241"/>
    </row>
    <row r="133" spans="1:10" x14ac:dyDescent="0.2">
      <c r="A133" s="465" t="s">
        <v>194</v>
      </c>
      <c r="B133" s="529">
        <v>7</v>
      </c>
      <c r="C133" s="241"/>
    </row>
    <row r="134" spans="1:10" x14ac:dyDescent="0.2">
      <c r="A134" s="462" t="s">
        <v>195</v>
      </c>
      <c r="B134" s="529">
        <v>16</v>
      </c>
      <c r="C134" s="241"/>
    </row>
    <row r="135" spans="1:10" ht="13.5" thickBot="1" x14ac:dyDescent="0.25">
      <c r="A135" s="512" t="s">
        <v>196</v>
      </c>
      <c r="B135" s="530">
        <v>12</v>
      </c>
      <c r="C135" s="241"/>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7</v>
      </c>
      <c r="C139" s="515"/>
      <c r="D139" s="516">
        <v>6</v>
      </c>
      <c r="E139" s="516">
        <v>4</v>
      </c>
      <c r="F139" s="517">
        <v>3</v>
      </c>
      <c r="G139" s="518">
        <v>0</v>
      </c>
    </row>
    <row r="140" spans="1:10" x14ac:dyDescent="0.2">
      <c r="A140" s="514" t="s">
        <v>252</v>
      </c>
      <c r="B140" s="515">
        <f>$B$139</f>
        <v>7</v>
      </c>
      <c r="C140" s="515">
        <v>5</v>
      </c>
      <c r="D140" s="516">
        <v>4</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61">$B$139</f>
        <v>7</v>
      </c>
      <c r="C142" s="515">
        <f>ROUND(B39,0)</f>
        <v>1</v>
      </c>
      <c r="D142" s="516"/>
      <c r="E142" s="516"/>
      <c r="F142" s="517"/>
      <c r="G142" s="518">
        <v>0</v>
      </c>
    </row>
    <row r="143" spans="1:10" x14ac:dyDescent="0.2">
      <c r="A143" s="514" t="s">
        <v>260</v>
      </c>
      <c r="B143" s="515">
        <f t="shared" si="61"/>
        <v>7</v>
      </c>
      <c r="C143" s="515">
        <f t="shared" ref="C143:C148" si="62">ROUNDDOWN(B40,0)</f>
        <v>4</v>
      </c>
      <c r="D143" s="516">
        <v>3</v>
      </c>
      <c r="E143" s="516">
        <v>3</v>
      </c>
      <c r="F143" s="517">
        <v>2</v>
      </c>
      <c r="G143" s="518">
        <v>0</v>
      </c>
    </row>
    <row r="144" spans="1:10" x14ac:dyDescent="0.2">
      <c r="A144" s="514" t="s">
        <v>261</v>
      </c>
      <c r="B144" s="515">
        <f t="shared" si="61"/>
        <v>7</v>
      </c>
      <c r="C144" s="515">
        <f t="shared" si="62"/>
        <v>4</v>
      </c>
      <c r="D144" s="516">
        <v>3</v>
      </c>
      <c r="E144" s="516">
        <v>3</v>
      </c>
      <c r="F144" s="517">
        <v>2</v>
      </c>
      <c r="G144" s="518">
        <v>0</v>
      </c>
    </row>
    <row r="145" spans="1:7" x14ac:dyDescent="0.2">
      <c r="A145" s="531" t="s">
        <v>262</v>
      </c>
      <c r="B145" s="515">
        <f t="shared" si="61"/>
        <v>7</v>
      </c>
      <c r="C145" s="515">
        <f t="shared" si="62"/>
        <v>4</v>
      </c>
      <c r="D145" s="516">
        <v>3</v>
      </c>
      <c r="E145" s="516">
        <v>3</v>
      </c>
      <c r="F145" s="517">
        <v>2</v>
      </c>
      <c r="G145" s="518">
        <v>0</v>
      </c>
    </row>
    <row r="146" spans="1:7" x14ac:dyDescent="0.2">
      <c r="A146" s="514" t="s">
        <v>263</v>
      </c>
      <c r="B146" s="515">
        <f t="shared" si="61"/>
        <v>7</v>
      </c>
      <c r="C146" s="515">
        <f t="shared" si="62"/>
        <v>4</v>
      </c>
      <c r="D146" s="516">
        <v>3</v>
      </c>
      <c r="E146" s="516">
        <v>3</v>
      </c>
      <c r="F146" s="517">
        <v>2</v>
      </c>
      <c r="G146" s="518">
        <v>0</v>
      </c>
    </row>
    <row r="147" spans="1:7" x14ac:dyDescent="0.2">
      <c r="A147" s="514" t="s">
        <v>264</v>
      </c>
      <c r="B147" s="515">
        <f t="shared" si="61"/>
        <v>7</v>
      </c>
      <c r="C147" s="515">
        <f t="shared" si="62"/>
        <v>5</v>
      </c>
      <c r="D147" s="516">
        <v>4</v>
      </c>
      <c r="E147" s="516">
        <v>3</v>
      </c>
      <c r="F147" s="517">
        <v>2</v>
      </c>
      <c r="G147" s="518">
        <v>0</v>
      </c>
    </row>
    <row r="148" spans="1:7" x14ac:dyDescent="0.2">
      <c r="A148" s="514" t="s">
        <v>265</v>
      </c>
      <c r="B148" s="515">
        <f t="shared" si="61"/>
        <v>7</v>
      </c>
      <c r="C148" s="515">
        <f t="shared" si="62"/>
        <v>4</v>
      </c>
      <c r="D148" s="516">
        <v>3</v>
      </c>
      <c r="E148" s="516">
        <v>3</v>
      </c>
      <c r="F148" s="517">
        <v>2</v>
      </c>
      <c r="G148" s="518">
        <v>0</v>
      </c>
    </row>
    <row r="149" spans="1:7" x14ac:dyDescent="0.2">
      <c r="A149" s="514" t="s">
        <v>266</v>
      </c>
      <c r="B149" s="515">
        <f t="shared" si="61"/>
        <v>7</v>
      </c>
      <c r="C149" s="515">
        <f t="shared" ref="C149" si="63">C140</f>
        <v>5</v>
      </c>
      <c r="D149" s="516">
        <v>4</v>
      </c>
      <c r="E149" s="516">
        <v>3</v>
      </c>
      <c r="F149" s="517">
        <v>2</v>
      </c>
      <c r="G149" s="518">
        <v>0</v>
      </c>
    </row>
    <row r="150" spans="1:7" x14ac:dyDescent="0.2">
      <c r="A150" s="519" t="s">
        <v>267</v>
      </c>
      <c r="B150" s="515">
        <f t="shared" si="61"/>
        <v>7</v>
      </c>
      <c r="C150" s="515">
        <f t="shared" ref="C150:G150" si="64">C140</f>
        <v>5</v>
      </c>
      <c r="D150" s="516">
        <f t="shared" si="64"/>
        <v>4</v>
      </c>
      <c r="E150" s="516">
        <f t="shared" si="64"/>
        <v>3</v>
      </c>
      <c r="F150" s="517">
        <f t="shared" si="64"/>
        <v>2</v>
      </c>
      <c r="G150" s="518">
        <f t="shared" si="64"/>
        <v>0</v>
      </c>
    </row>
    <row r="151" spans="1:7" x14ac:dyDescent="0.2">
      <c r="A151" s="513" t="s">
        <v>179</v>
      </c>
      <c r="B151" s="195"/>
      <c r="C151" s="196"/>
      <c r="D151" s="196"/>
      <c r="E151" s="196"/>
      <c r="F151" s="196"/>
      <c r="G151" s="197"/>
    </row>
    <row r="152" spans="1:7" x14ac:dyDescent="0.2">
      <c r="A152" s="514" t="s">
        <v>180</v>
      </c>
      <c r="B152" s="515">
        <f>B49</f>
        <v>24</v>
      </c>
      <c r="C152" s="515"/>
      <c r="D152" s="516">
        <f>B152-1</f>
        <v>23</v>
      </c>
      <c r="E152" s="516">
        <f>1+F152</f>
        <v>10</v>
      </c>
      <c r="F152" s="517">
        <f>MAX(N49,1)</f>
        <v>9</v>
      </c>
      <c r="G152" s="198">
        <v>0</v>
      </c>
    </row>
    <row r="153" spans="1:7" x14ac:dyDescent="0.2">
      <c r="A153" s="514" t="s">
        <v>148</v>
      </c>
      <c r="B153" s="515">
        <f>B152</f>
        <v>24</v>
      </c>
      <c r="C153" s="515">
        <f>B50</f>
        <v>20</v>
      </c>
      <c r="D153" s="520">
        <f>C153-1</f>
        <v>19</v>
      </c>
      <c r="E153" s="516">
        <f t="shared" ref="E153" si="65">1+F153</f>
        <v>9</v>
      </c>
      <c r="F153" s="517">
        <f>MAX(N50,1)</f>
        <v>8</v>
      </c>
      <c r="G153" s="198">
        <v>0</v>
      </c>
    </row>
    <row r="154" spans="1:7" x14ac:dyDescent="0.2">
      <c r="A154" s="514" t="s">
        <v>182</v>
      </c>
      <c r="B154" s="515">
        <f>B51</f>
        <v>26</v>
      </c>
      <c r="C154" s="515"/>
      <c r="D154" s="516">
        <f>B154-1</f>
        <v>25</v>
      </c>
      <c r="E154" s="516">
        <f t="shared" ref="E154:E167" si="66">1+F154</f>
        <v>10</v>
      </c>
      <c r="F154" s="517">
        <f>MAX(N51,1)</f>
        <v>9</v>
      </c>
      <c r="G154" s="198">
        <v>0</v>
      </c>
    </row>
    <row r="155" spans="1:7" x14ac:dyDescent="0.2">
      <c r="A155" s="514" t="s">
        <v>152</v>
      </c>
      <c r="B155" s="515">
        <f>B154</f>
        <v>26</v>
      </c>
      <c r="C155" s="515">
        <f>B52</f>
        <v>20</v>
      </c>
      <c r="D155" s="520">
        <f>C155-1</f>
        <v>19</v>
      </c>
      <c r="E155" s="516">
        <f t="shared" si="66"/>
        <v>9</v>
      </c>
      <c r="F155" s="517">
        <f>MAX(N52,1)</f>
        <v>8</v>
      </c>
      <c r="G155" s="198">
        <v>0</v>
      </c>
    </row>
    <row r="156" spans="1:7" x14ac:dyDescent="0.2">
      <c r="A156" s="514" t="s">
        <v>253</v>
      </c>
      <c r="B156" s="515">
        <f>B54</f>
        <v>14</v>
      </c>
      <c r="C156" s="515"/>
      <c r="D156" s="516">
        <f>B156-1</f>
        <v>13</v>
      </c>
      <c r="E156" s="516">
        <f t="shared" si="66"/>
        <v>6</v>
      </c>
      <c r="F156" s="517">
        <f>MAX(N54,1)</f>
        <v>5</v>
      </c>
      <c r="G156" s="198">
        <v>0</v>
      </c>
    </row>
    <row r="157" spans="1:7" x14ac:dyDescent="0.2">
      <c r="A157" s="514" t="s">
        <v>186</v>
      </c>
      <c r="B157" s="515">
        <f>B156</f>
        <v>14</v>
      </c>
      <c r="C157" s="515">
        <f>B55</f>
        <v>10</v>
      </c>
      <c r="D157" s="520">
        <f>C157-1</f>
        <v>9</v>
      </c>
      <c r="E157" s="516">
        <f t="shared" si="66"/>
        <v>5</v>
      </c>
      <c r="F157" s="517">
        <f t="shared" ref="F157:F167" si="67">MAX(N55,1)</f>
        <v>4</v>
      </c>
      <c r="G157" s="198">
        <v>0</v>
      </c>
    </row>
    <row r="158" spans="1:7" x14ac:dyDescent="0.2">
      <c r="A158" s="514" t="s">
        <v>187</v>
      </c>
      <c r="B158" s="515">
        <f>B56</f>
        <v>8</v>
      </c>
      <c r="C158" s="515"/>
      <c r="D158" s="516">
        <f>B158-1</f>
        <v>7</v>
      </c>
      <c r="E158" s="516">
        <f t="shared" si="66"/>
        <v>2</v>
      </c>
      <c r="F158" s="517">
        <f t="shared" si="67"/>
        <v>1</v>
      </c>
      <c r="G158" s="198">
        <v>0</v>
      </c>
    </row>
    <row r="159" spans="1:7" x14ac:dyDescent="0.2">
      <c r="A159" s="514" t="s">
        <v>188</v>
      </c>
      <c r="B159" s="515">
        <f>B158</f>
        <v>8</v>
      </c>
      <c r="C159" s="515">
        <f>B57</f>
        <v>4</v>
      </c>
      <c r="D159" s="520">
        <f>C159-1</f>
        <v>3</v>
      </c>
      <c r="E159" s="516">
        <f t="shared" si="66"/>
        <v>2</v>
      </c>
      <c r="F159" s="517">
        <f t="shared" si="67"/>
        <v>1</v>
      </c>
      <c r="G159" s="198">
        <v>0</v>
      </c>
    </row>
    <row r="160" spans="1:7" x14ac:dyDescent="0.2">
      <c r="A160" s="514" t="s">
        <v>189</v>
      </c>
      <c r="B160" s="515">
        <f>B58</f>
        <v>11</v>
      </c>
      <c r="C160" s="515"/>
      <c r="D160" s="516">
        <f>B160-1</f>
        <v>10</v>
      </c>
      <c r="E160" s="516">
        <f t="shared" si="66"/>
        <v>2</v>
      </c>
      <c r="F160" s="517">
        <f t="shared" si="67"/>
        <v>1</v>
      </c>
      <c r="G160" s="198">
        <v>0</v>
      </c>
    </row>
    <row r="161" spans="1:7" x14ac:dyDescent="0.2">
      <c r="A161" s="514" t="s">
        <v>190</v>
      </c>
      <c r="B161" s="515">
        <f>B160</f>
        <v>11</v>
      </c>
      <c r="C161" s="515">
        <f>B59</f>
        <v>7</v>
      </c>
      <c r="D161" s="520">
        <f>C161-1</f>
        <v>6</v>
      </c>
      <c r="E161" s="516">
        <f t="shared" si="66"/>
        <v>2</v>
      </c>
      <c r="F161" s="517">
        <f t="shared" si="67"/>
        <v>1</v>
      </c>
      <c r="G161" s="198">
        <v>0</v>
      </c>
    </row>
    <row r="162" spans="1:7" x14ac:dyDescent="0.2">
      <c r="A162" s="514" t="s">
        <v>191</v>
      </c>
      <c r="B162" s="515">
        <f>B60</f>
        <v>18</v>
      </c>
      <c r="C162" s="515"/>
      <c r="D162" s="516">
        <f>B162-1</f>
        <v>17</v>
      </c>
      <c r="E162" s="516">
        <f t="shared" si="66"/>
        <v>6</v>
      </c>
      <c r="F162" s="517">
        <f t="shared" si="67"/>
        <v>5</v>
      </c>
      <c r="G162" s="198">
        <v>0</v>
      </c>
    </row>
    <row r="163" spans="1:7" x14ac:dyDescent="0.2">
      <c r="A163" s="514" t="s">
        <v>192</v>
      </c>
      <c r="B163" s="515">
        <f>B162</f>
        <v>18</v>
      </c>
      <c r="C163" s="515">
        <f>B61</f>
        <v>14</v>
      </c>
      <c r="D163" s="520">
        <f>C163-1</f>
        <v>13</v>
      </c>
      <c r="E163" s="516">
        <f t="shared" si="66"/>
        <v>5</v>
      </c>
      <c r="F163" s="517">
        <f t="shared" si="67"/>
        <v>4</v>
      </c>
      <c r="G163" s="198">
        <v>0</v>
      </c>
    </row>
    <row r="164" spans="1:7" x14ac:dyDescent="0.2">
      <c r="A164" s="514" t="s">
        <v>193</v>
      </c>
      <c r="B164" s="515">
        <f>B62</f>
        <v>11</v>
      </c>
      <c r="C164" s="515"/>
      <c r="D164" s="516">
        <f>B164-1</f>
        <v>10</v>
      </c>
      <c r="E164" s="516">
        <f t="shared" si="66"/>
        <v>6</v>
      </c>
      <c r="F164" s="517">
        <f t="shared" si="67"/>
        <v>5</v>
      </c>
      <c r="G164" s="198">
        <v>0</v>
      </c>
    </row>
    <row r="165" spans="1:7" x14ac:dyDescent="0.2">
      <c r="A165" s="514" t="s">
        <v>194</v>
      </c>
      <c r="B165" s="515">
        <f>B164</f>
        <v>11</v>
      </c>
      <c r="C165" s="515">
        <f>B63</f>
        <v>7</v>
      </c>
      <c r="D165" s="520">
        <f>C165-1</f>
        <v>6</v>
      </c>
      <c r="E165" s="516">
        <f t="shared" si="66"/>
        <v>5</v>
      </c>
      <c r="F165" s="517">
        <f t="shared" si="67"/>
        <v>4</v>
      </c>
      <c r="G165" s="198">
        <v>0</v>
      </c>
    </row>
    <row r="166" spans="1:7" x14ac:dyDescent="0.2">
      <c r="A166" s="514" t="s">
        <v>195</v>
      </c>
      <c r="B166" s="515">
        <f>B64</f>
        <v>16</v>
      </c>
      <c r="C166" s="515"/>
      <c r="D166" s="516">
        <f>B166-1</f>
        <v>15</v>
      </c>
      <c r="E166" s="516">
        <f t="shared" si="66"/>
        <v>6</v>
      </c>
      <c r="F166" s="517">
        <f t="shared" si="67"/>
        <v>5</v>
      </c>
      <c r="G166" s="198">
        <v>0</v>
      </c>
    </row>
    <row r="167" spans="1:7" ht="13.5" thickBot="1" x14ac:dyDescent="0.25">
      <c r="A167" s="522" t="s">
        <v>196</v>
      </c>
      <c r="B167" s="523">
        <f>B166</f>
        <v>16</v>
      </c>
      <c r="C167" s="523">
        <f>B65</f>
        <v>12</v>
      </c>
      <c r="D167" s="524">
        <f>C167-1</f>
        <v>11</v>
      </c>
      <c r="E167" s="524">
        <f t="shared" si="66"/>
        <v>5</v>
      </c>
      <c r="F167" s="525">
        <f t="shared" si="67"/>
        <v>4</v>
      </c>
      <c r="G167" s="526">
        <v>0</v>
      </c>
    </row>
    <row r="170" spans="1:7" x14ac:dyDescent="0.2">
      <c r="A170" s="349" t="s">
        <v>254</v>
      </c>
      <c r="B170" s="349" t="s">
        <v>268</v>
      </c>
    </row>
    <row r="171" spans="1:7" x14ac:dyDescent="0.2">
      <c r="A171" s="527" t="s">
        <v>256</v>
      </c>
      <c r="B171" s="528">
        <f>HLOOKUP($B$170,'EA-18G Mission System Summary'!$B$1:$G$12,2,FALSE)</f>
        <v>0.87842811486852901</v>
      </c>
    </row>
    <row r="172" spans="1:7" x14ac:dyDescent="0.2">
      <c r="A172" s="527" t="str">
        <f t="shared" ref="A172:A180" si="68">A39</f>
        <v>Ready EA-18G Advanced Threat Mission Systems (C)</v>
      </c>
      <c r="B172" s="528">
        <f>HLOOKUP($B$170,'EA-18G Mission System Summary'!$B$1:$G$12,3,FALSE)</f>
        <v>0.17640194425352435</v>
      </c>
    </row>
    <row r="173" spans="1:7" x14ac:dyDescent="0.2">
      <c r="A173" s="527" t="str">
        <f t="shared" si="68"/>
        <v>Ready EA-18G HARM Mission Systems (D)</v>
      </c>
      <c r="B173" s="528">
        <f>HLOOKUP($B$170,'EA-18G Mission System Summary'!$B$1:$G$12,4,FALSE)</f>
        <v>0.81168628885911109</v>
      </c>
    </row>
    <row r="174" spans="1:7" x14ac:dyDescent="0.2">
      <c r="A174" s="527" t="str">
        <f t="shared" si="68"/>
        <v>Ready EA-18G AMRAAM Mission Systems (E)</v>
      </c>
      <c r="B174" s="528">
        <f>HLOOKUP($B$170,'EA-18G Mission System Summary'!$B$1:$G$12,5,FALSE)</f>
        <v>0.82359805574647593</v>
      </c>
    </row>
    <row r="175" spans="1:7" x14ac:dyDescent="0.2">
      <c r="A175" s="527" t="str">
        <f t="shared" si="68"/>
        <v>Ready EA-18G Ready Survivablity Mission System (F)</v>
      </c>
      <c r="B175" s="528">
        <f>HLOOKUP($B$170,'EA-18G Mission System Summary'!$B$1:$G$12,6,FALSE)</f>
        <v>0.81168628885911109</v>
      </c>
    </row>
    <row r="176" spans="1:7" x14ac:dyDescent="0.2">
      <c r="A176" s="527" t="str">
        <f t="shared" si="68"/>
        <v>Ready EA-18G Airborn Electronic Attack (AEA) System (G)</v>
      </c>
      <c r="B176" s="528">
        <f>HLOOKUP($B$170,'EA-18G Mission System Summary'!$B$1:$G$12,7,FALSE)</f>
        <v>0.82359805574647593</v>
      </c>
    </row>
    <row r="177" spans="1:2" x14ac:dyDescent="0.2">
      <c r="A177" s="527" t="str">
        <f t="shared" si="68"/>
        <v>Ready EA-18G Air Refueling System (I)</v>
      </c>
      <c r="B177" s="528">
        <f>HLOOKUP($B$170,'EA-18G Mission System Summary'!$B$1:$G$12,8,FALSE)</f>
        <v>0.17640194425352435</v>
      </c>
    </row>
    <row r="178" spans="1:2" x14ac:dyDescent="0.2">
      <c r="A178" s="527" t="str">
        <f t="shared" si="68"/>
        <v>Ready EA-18G Ready Tactical Navigation Systems (J)</v>
      </c>
      <c r="B178" s="528">
        <f>HLOOKUP($B$170,'EA-18G Mission System Summary'!$B$1:$G$12,9,FALSE)</f>
        <v>0.82359805574647593</v>
      </c>
    </row>
    <row r="179" spans="1:2" x14ac:dyDescent="0.2">
      <c r="A179" s="527" t="str">
        <f t="shared" si="68"/>
        <v>Ready EA-18G Shipboard Mission Systems (K)</v>
      </c>
      <c r="B179" s="528">
        <f>HLOOKUP($B$170,'EA-18G Mission System Summary'!$B$1:$G$12,10,FALSE)</f>
        <v>0.17640194425352435</v>
      </c>
    </row>
    <row r="180" spans="1:2" x14ac:dyDescent="0.2">
      <c r="A180" s="527" t="str">
        <f t="shared" si="68"/>
        <v>Ready EA-18G IMC Flight Mission Systems (L)</v>
      </c>
      <c r="B180" s="528">
        <f>HLOOKUP($B$170,'EA-18G Mission System Summary'!$B$1:$G$12,11,FALSE)</f>
        <v>1</v>
      </c>
    </row>
  </sheetData>
  <mergeCells count="16">
    <mergeCell ref="AG17:AJ17"/>
    <mergeCell ref="M1:P1"/>
    <mergeCell ref="B16:C16"/>
    <mergeCell ref="D16:F16"/>
    <mergeCell ref="G16:I16"/>
    <mergeCell ref="J16:M16"/>
    <mergeCell ref="A122:B122"/>
    <mergeCell ref="B137:C137"/>
    <mergeCell ref="D137:E137"/>
    <mergeCell ref="F137:G137"/>
    <mergeCell ref="AG28:AH28"/>
    <mergeCell ref="AG38:AH38"/>
    <mergeCell ref="A93:N93"/>
    <mergeCell ref="A103:B103"/>
    <mergeCell ref="A104:B104"/>
    <mergeCell ref="A118:B118"/>
  </mergeCells>
  <conditionalFormatting sqref="C151">
    <cfRule type="cellIs" dxfId="305" priority="156" operator="equal">
      <formula>B151</formula>
    </cfRule>
  </conditionalFormatting>
  <conditionalFormatting sqref="D151:E151">
    <cfRule type="cellIs" dxfId="304" priority="159" operator="equal">
      <formula>C151</formula>
    </cfRule>
  </conditionalFormatting>
  <conditionalFormatting sqref="F151">
    <cfRule type="cellIs" dxfId="303" priority="157" operator="equal">
      <formula>E151</formula>
    </cfRule>
    <cfRule type="cellIs" dxfId="302" priority="158" operator="equal">
      <formula>G151</formula>
    </cfRule>
  </conditionalFormatting>
  <conditionalFormatting sqref="F139">
    <cfRule type="cellIs" dxfId="301" priority="90" operator="equal">
      <formula>E139</formula>
    </cfRule>
  </conditionalFormatting>
  <conditionalFormatting sqref="F139">
    <cfRule type="cellIs" dxfId="300" priority="88" operator="equal">
      <formula>E139</formula>
    </cfRule>
  </conditionalFormatting>
  <conditionalFormatting sqref="F139">
    <cfRule type="cellIs" dxfId="299" priority="87" operator="equal">
      <formula>E139</formula>
    </cfRule>
  </conditionalFormatting>
  <conditionalFormatting sqref="D139">
    <cfRule type="cellIs" dxfId="298" priority="86" operator="equal">
      <formula>C139</formula>
    </cfRule>
  </conditionalFormatting>
  <conditionalFormatting sqref="E139">
    <cfRule type="cellIs" dxfId="297" priority="91" operator="equal">
      <formula>D139</formula>
    </cfRule>
  </conditionalFormatting>
  <conditionalFormatting sqref="F140:F141">
    <cfRule type="cellIs" dxfId="296" priority="85" operator="equal">
      <formula>E140</formula>
    </cfRule>
    <cfRule type="cellIs" dxfId="295" priority="89" operator="equal">
      <formula>G140</formula>
    </cfRule>
  </conditionalFormatting>
  <conditionalFormatting sqref="D139">
    <cfRule type="cellIs" dxfId="294" priority="92" operator="equal">
      <formula>C139</formula>
    </cfRule>
  </conditionalFormatting>
  <conditionalFormatting sqref="C139">
    <cfRule type="cellIs" dxfId="293" priority="84" operator="equal">
      <formula>B139</formula>
    </cfRule>
  </conditionalFormatting>
  <conditionalFormatting sqref="C140">
    <cfRule type="cellIs" dxfId="292" priority="83" operator="equal">
      <formula>B140</formula>
    </cfRule>
  </conditionalFormatting>
  <conditionalFormatting sqref="E140">
    <cfRule type="cellIs" dxfId="291" priority="82" operator="equal">
      <formula>D140</formula>
    </cfRule>
  </conditionalFormatting>
  <conditionalFormatting sqref="F142">
    <cfRule type="cellIs" dxfId="290" priority="80" operator="equal">
      <formula>E142</formula>
    </cfRule>
    <cfRule type="cellIs" dxfId="289" priority="81" operator="equal">
      <formula>G142</formula>
    </cfRule>
  </conditionalFormatting>
  <conditionalFormatting sqref="E142">
    <cfRule type="cellIs" dxfId="288" priority="78" operator="equal">
      <formula>D142</formula>
    </cfRule>
  </conditionalFormatting>
  <conditionalFormatting sqref="F143">
    <cfRule type="cellIs" dxfId="287" priority="76" operator="equal">
      <formula>E143</formula>
    </cfRule>
    <cfRule type="cellIs" dxfId="286" priority="77" operator="equal">
      <formula>G143</formula>
    </cfRule>
  </conditionalFormatting>
  <conditionalFormatting sqref="E143">
    <cfRule type="cellIs" dxfId="285" priority="74" operator="equal">
      <formula>D143</formula>
    </cfRule>
  </conditionalFormatting>
  <conditionalFormatting sqref="F144">
    <cfRule type="cellIs" dxfId="284" priority="72" operator="equal">
      <formula>E144</formula>
    </cfRule>
    <cfRule type="cellIs" dxfId="283" priority="73" operator="equal">
      <formula>G144</formula>
    </cfRule>
  </conditionalFormatting>
  <conditionalFormatting sqref="E144">
    <cfRule type="cellIs" dxfId="282" priority="70" operator="equal">
      <formula>D144</formula>
    </cfRule>
  </conditionalFormatting>
  <conditionalFormatting sqref="F145">
    <cfRule type="cellIs" dxfId="281" priority="68" operator="equal">
      <formula>E145</formula>
    </cfRule>
    <cfRule type="cellIs" dxfId="280" priority="69" operator="equal">
      <formula>G145</formula>
    </cfRule>
  </conditionalFormatting>
  <conditionalFormatting sqref="E145">
    <cfRule type="cellIs" dxfId="279" priority="66" operator="equal">
      <formula>D145</formula>
    </cfRule>
  </conditionalFormatting>
  <conditionalFormatting sqref="F146">
    <cfRule type="cellIs" dxfId="278" priority="64" operator="equal">
      <formula>E146</formula>
    </cfRule>
    <cfRule type="cellIs" dxfId="277" priority="65" operator="equal">
      <formula>G146</formula>
    </cfRule>
  </conditionalFormatting>
  <conditionalFormatting sqref="E146">
    <cfRule type="cellIs" dxfId="276" priority="62" operator="equal">
      <formula>D146</formula>
    </cfRule>
  </conditionalFormatting>
  <conditionalFormatting sqref="F147">
    <cfRule type="cellIs" dxfId="275" priority="60" operator="equal">
      <formula>E147</formula>
    </cfRule>
    <cfRule type="cellIs" dxfId="274" priority="61" operator="equal">
      <formula>G147</formula>
    </cfRule>
  </conditionalFormatting>
  <conditionalFormatting sqref="E147">
    <cfRule type="cellIs" dxfId="273" priority="58" operator="equal">
      <formula>D147</formula>
    </cfRule>
  </conditionalFormatting>
  <conditionalFormatting sqref="F148">
    <cfRule type="cellIs" dxfId="272" priority="56" operator="equal">
      <formula>E148</formula>
    </cfRule>
    <cfRule type="cellIs" dxfId="271" priority="57" operator="equal">
      <formula>G148</formula>
    </cfRule>
  </conditionalFormatting>
  <conditionalFormatting sqref="E148">
    <cfRule type="cellIs" dxfId="270" priority="54" operator="equal">
      <formula>D148</formula>
    </cfRule>
  </conditionalFormatting>
  <conditionalFormatting sqref="F149">
    <cfRule type="cellIs" dxfId="269" priority="52" operator="equal">
      <formula>E149</formula>
    </cfRule>
    <cfRule type="cellIs" dxfId="268" priority="53" operator="equal">
      <formula>G149</formula>
    </cfRule>
  </conditionalFormatting>
  <conditionalFormatting sqref="E149">
    <cfRule type="cellIs" dxfId="267" priority="50" operator="equal">
      <formula>D149</formula>
    </cfRule>
  </conditionalFormatting>
  <conditionalFormatting sqref="E154:E167">
    <cfRule type="cellIs" dxfId="266" priority="48" operator="equal">
      <formula>D154</formula>
    </cfRule>
  </conditionalFormatting>
  <conditionalFormatting sqref="D154:D155">
    <cfRule type="cellIs" dxfId="265" priority="47" operator="equal">
      <formula>C154</formula>
    </cfRule>
  </conditionalFormatting>
  <conditionalFormatting sqref="D156:D157">
    <cfRule type="cellIs" dxfId="264" priority="46" operator="equal">
      <formula>C156</formula>
    </cfRule>
  </conditionalFormatting>
  <conditionalFormatting sqref="D158:D159">
    <cfRule type="cellIs" dxfId="263" priority="45" operator="equal">
      <formula>C158</formula>
    </cfRule>
  </conditionalFormatting>
  <conditionalFormatting sqref="D160:D161">
    <cfRule type="cellIs" dxfId="262" priority="44" operator="equal">
      <formula>C160</formula>
    </cfRule>
  </conditionalFormatting>
  <conditionalFormatting sqref="D162:D163">
    <cfRule type="cellIs" dxfId="261" priority="43" operator="equal">
      <formula>C162</formula>
    </cfRule>
  </conditionalFormatting>
  <conditionalFormatting sqref="D164:D165">
    <cfRule type="cellIs" dxfId="260" priority="42" operator="equal">
      <formula>C164</formula>
    </cfRule>
  </conditionalFormatting>
  <conditionalFormatting sqref="D166:D167">
    <cfRule type="cellIs" dxfId="259" priority="41" operator="equal">
      <formula>C166</formula>
    </cfRule>
  </conditionalFormatting>
  <conditionalFormatting sqref="E152:E153">
    <cfRule type="cellIs" dxfId="258" priority="36" operator="equal">
      <formula>D152</formula>
    </cfRule>
  </conditionalFormatting>
  <conditionalFormatting sqref="D152:D153">
    <cfRule type="cellIs" dxfId="257" priority="40" operator="equal">
      <formula>C152</formula>
    </cfRule>
  </conditionalFormatting>
  <conditionalFormatting sqref="F152:F167">
    <cfRule type="cellIs" dxfId="256" priority="38" operator="equal">
      <formula>E152</formula>
    </cfRule>
    <cfRule type="cellIs" dxfId="255" priority="39" operator="equal">
      <formula>G152</formula>
    </cfRule>
  </conditionalFormatting>
  <conditionalFormatting sqref="C152">
    <cfRule type="cellIs" dxfId="254" priority="37" operator="equal">
      <formula>B152</formula>
    </cfRule>
  </conditionalFormatting>
  <conditionalFormatting sqref="C153">
    <cfRule type="cellIs" dxfId="253" priority="35" operator="equal">
      <formula>B153</formula>
    </cfRule>
  </conditionalFormatting>
  <conditionalFormatting sqref="C154">
    <cfRule type="cellIs" dxfId="252" priority="34" operator="equal">
      <formula>B154</formula>
    </cfRule>
  </conditionalFormatting>
  <conditionalFormatting sqref="C155">
    <cfRule type="cellIs" dxfId="251" priority="33" operator="equal">
      <formula>B155</formula>
    </cfRule>
  </conditionalFormatting>
  <conditionalFormatting sqref="C156">
    <cfRule type="cellIs" dxfId="250" priority="32" operator="equal">
      <formula>B156</formula>
    </cfRule>
  </conditionalFormatting>
  <conditionalFormatting sqref="C157">
    <cfRule type="cellIs" dxfId="249" priority="31" operator="equal">
      <formula>B157</formula>
    </cfRule>
  </conditionalFormatting>
  <conditionalFormatting sqref="C158">
    <cfRule type="cellIs" dxfId="248" priority="24" operator="equal">
      <formula>B158</formula>
    </cfRule>
  </conditionalFormatting>
  <conditionalFormatting sqref="C159">
    <cfRule type="cellIs" dxfId="247" priority="23" operator="equal">
      <formula>B159</formula>
    </cfRule>
  </conditionalFormatting>
  <conditionalFormatting sqref="C160">
    <cfRule type="cellIs" dxfId="246" priority="22" operator="equal">
      <formula>B160</formula>
    </cfRule>
  </conditionalFormatting>
  <conditionalFormatting sqref="C161">
    <cfRule type="cellIs" dxfId="245" priority="21" operator="equal">
      <formula>B161</formula>
    </cfRule>
  </conditionalFormatting>
  <conditionalFormatting sqref="C162">
    <cfRule type="cellIs" dxfId="244" priority="20" operator="equal">
      <formula>B162</formula>
    </cfRule>
  </conditionalFormatting>
  <conditionalFormatting sqref="C163">
    <cfRule type="cellIs" dxfId="243" priority="19" operator="equal">
      <formula>B163</formula>
    </cfRule>
  </conditionalFormatting>
  <conditionalFormatting sqref="C164">
    <cfRule type="cellIs" dxfId="242" priority="18" operator="equal">
      <formula>B164</formula>
    </cfRule>
  </conditionalFormatting>
  <conditionalFormatting sqref="C165">
    <cfRule type="cellIs" dxfId="241" priority="17" operator="equal">
      <formula>B165</formula>
    </cfRule>
  </conditionalFormatting>
  <conditionalFormatting sqref="C166">
    <cfRule type="cellIs" dxfId="240" priority="16" operator="equal">
      <formula>B166</formula>
    </cfRule>
  </conditionalFormatting>
  <conditionalFormatting sqref="C167">
    <cfRule type="cellIs" dxfId="239" priority="15" operator="equal">
      <formula>B167</formula>
    </cfRule>
  </conditionalFormatting>
  <conditionalFormatting sqref="B124:B135">
    <cfRule type="cellIs" dxfId="238" priority="94" operator="notEqual">
      <formula>#REF!</formula>
    </cfRule>
  </conditionalFormatting>
  <conditionalFormatting sqref="C124:C135">
    <cfRule type="cellIs" dxfId="237" priority="93" operator="notEqual">
      <formula>#REF!</formula>
    </cfRule>
  </conditionalFormatting>
  <conditionalFormatting sqref="C149">
    <cfRule type="cellIs" dxfId="236" priority="12" operator="equal">
      <formula>B149</formula>
    </cfRule>
  </conditionalFormatting>
  <conditionalFormatting sqref="C142:C148">
    <cfRule type="cellIs" dxfId="235" priority="11" operator="equal">
      <formula>B142</formula>
    </cfRule>
  </conditionalFormatting>
  <conditionalFormatting sqref="F150">
    <cfRule type="cellIs" dxfId="234" priority="3" operator="equal">
      <formula>E150</formula>
    </cfRule>
    <cfRule type="cellIs" dxfId="233" priority="4" operator="equal">
      <formula>G150</formula>
    </cfRule>
  </conditionalFormatting>
  <conditionalFormatting sqref="C150">
    <cfRule type="cellIs" dxfId="232" priority="2" operator="equal">
      <formula>B150</formula>
    </cfRule>
  </conditionalFormatting>
  <conditionalFormatting sqref="E150">
    <cfRule type="cellIs" dxfId="231" priority="1" operator="equal">
      <formula>D150</formula>
    </cfRule>
  </conditionalFormatting>
  <dataValidations count="1">
    <dataValidation type="list" allowBlank="1" showInputMessage="1" showErrorMessage="1" sqref="AH20" xr:uid="{00000000-0002-0000-0400-000000000000}">
      <formula1>$B$14:$M$14</formula1>
    </dataValidation>
  </dataValidations>
  <hyperlinks>
    <hyperlink ref="H1" location="Inventory!A1" display="Inventory" xr:uid="{00000000-0004-0000-0400-000000000000}"/>
    <hyperlink ref="H1:I1" location="Inventory!A1" display="Inventory" xr:uid="{00000000-0004-0000-0400-000001000000}"/>
    <hyperlink ref="H2" location="'VAQ (7 EA-18G) FDNF'!A167" display="AMFOM" xr:uid="{00000000-0004-0000-0400-000002000000}"/>
    <hyperlink ref="J137" location="Inventory!A1" display="Inventory" xr:uid="{00000000-0004-0000-0400-000003000000}"/>
    <hyperlink ref="J138" location="'VAQ (7 EA-18G) FDNF'!A1" display="Top" xr:uid="{00000000-0004-0000-0400-000004000000}"/>
  </hyperlinks>
  <printOptions horizontalCentered="1" verticalCentered="1"/>
  <pageMargins left="0.5" right="0.25" top="0.5" bottom="0.5" header="0.5" footer="0.5"/>
  <pageSetup scale="2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showGridLines="0" topLeftCell="A101" zoomScaleNormal="100" zoomScaleSheetLayoutView="40" workbookViewId="0">
      <selection activeCell="A172" sqref="A172"/>
    </sheetView>
  </sheetViews>
  <sheetFormatPr defaultColWidth="8.85546875" defaultRowHeight="12.75" x14ac:dyDescent="0.2"/>
  <cols>
    <col min="1" max="1" width="45.85546875" style="7" customWidth="1"/>
    <col min="2" max="26" width="5.7109375" style="7" customWidth="1"/>
    <col min="27" max="27" width="5.7109375" style="85" customWidth="1"/>
    <col min="28" max="29" width="5.7109375" style="7" customWidth="1"/>
    <col min="30" max="30" width="6.28515625" style="7" bestFit="1" customWidth="1"/>
    <col min="31" max="31" width="5.7109375" style="7" customWidth="1"/>
    <col min="32" max="36" width="20.7109375" style="7" customWidth="1"/>
    <col min="37" max="16384" width="8.85546875" style="7"/>
  </cols>
  <sheetData>
    <row r="1" spans="1:38" s="1" customFormat="1" ht="18.75" x14ac:dyDescent="0.3">
      <c r="A1" s="46" t="s">
        <v>272</v>
      </c>
      <c r="B1" s="46"/>
      <c r="C1" s="46"/>
      <c r="D1" s="46"/>
      <c r="E1" s="46"/>
      <c r="F1" s="46"/>
      <c r="G1" s="26"/>
      <c r="H1" s="80" t="s">
        <v>63</v>
      </c>
      <c r="K1" s="83"/>
      <c r="L1" s="132" t="s">
        <v>2</v>
      </c>
      <c r="M1" s="648">
        <v>44835</v>
      </c>
      <c r="N1" s="649"/>
      <c r="O1" s="650"/>
      <c r="P1" s="650"/>
      <c r="AA1" s="85"/>
      <c r="AC1" s="312" t="s">
        <v>64</v>
      </c>
      <c r="AD1" s="313">
        <v>5.04</v>
      </c>
    </row>
    <row r="2" spans="1:38" s="3" customFormat="1" x14ac:dyDescent="0.2">
      <c r="A2" s="43" t="s">
        <v>65</v>
      </c>
      <c r="B2" s="28">
        <v>5</v>
      </c>
      <c r="C2" s="29"/>
      <c r="D2" s="29"/>
      <c r="E2" s="29"/>
      <c r="F2" s="29"/>
      <c r="H2" s="343" t="s">
        <v>3</v>
      </c>
      <c r="N2" s="4"/>
      <c r="O2" s="4"/>
      <c r="P2" s="4"/>
      <c r="Q2" s="4"/>
      <c r="R2" s="2"/>
      <c r="S2" s="2"/>
      <c r="T2" s="2"/>
      <c r="U2" s="2"/>
      <c r="V2" s="2"/>
      <c r="W2" s="2"/>
      <c r="X2" s="2"/>
      <c r="Y2" s="2"/>
      <c r="Z2" s="2"/>
      <c r="AA2" s="86"/>
    </row>
    <row r="3" spans="1:38" s="3" customFormat="1" ht="11.25" x14ac:dyDescent="0.2">
      <c r="A3" s="43" t="s">
        <v>66</v>
      </c>
      <c r="B3" s="31">
        <v>1.8</v>
      </c>
      <c r="C3" s="29"/>
      <c r="D3" s="29"/>
      <c r="E3" s="29"/>
      <c r="F3" s="29"/>
      <c r="I3" s="2"/>
      <c r="J3" s="2"/>
      <c r="K3" s="2"/>
      <c r="N3" s="4"/>
      <c r="O3" s="4"/>
      <c r="P3" s="4"/>
      <c r="Q3" s="4"/>
      <c r="R3" s="2"/>
      <c r="S3" s="2"/>
      <c r="T3" s="2"/>
      <c r="U3" s="2"/>
      <c r="V3" s="2"/>
      <c r="W3" s="2"/>
      <c r="X3" s="2"/>
      <c r="Y3" s="2"/>
      <c r="Z3" s="2"/>
      <c r="AA3" s="86"/>
    </row>
    <row r="4" spans="1:38" s="3" customFormat="1" ht="11.25" x14ac:dyDescent="0.2">
      <c r="A4" s="43" t="s">
        <v>67</v>
      </c>
      <c r="B4" s="44">
        <f>ROUND(B2*B3,0)</f>
        <v>9</v>
      </c>
      <c r="C4" s="29"/>
      <c r="D4" s="29"/>
      <c r="E4" s="29"/>
      <c r="F4" s="29"/>
      <c r="G4" s="2"/>
      <c r="H4" s="2"/>
      <c r="I4" s="2"/>
      <c r="J4" s="2"/>
      <c r="K4" s="2"/>
      <c r="N4" s="4"/>
      <c r="O4" s="4"/>
      <c r="P4" s="4"/>
      <c r="Q4" s="4"/>
      <c r="R4" s="2"/>
      <c r="S4" s="2"/>
      <c r="T4" s="2"/>
      <c r="U4" s="2"/>
      <c r="V4" s="2"/>
      <c r="W4" s="2"/>
      <c r="X4" s="2"/>
      <c r="Y4" s="2"/>
      <c r="Z4" s="2"/>
      <c r="AA4" s="86"/>
    </row>
    <row r="5" spans="1:38" s="3" customFormat="1" ht="11.25" x14ac:dyDescent="0.2">
      <c r="A5" s="43" t="s">
        <v>68</v>
      </c>
      <c r="B5" s="29">
        <v>1.9</v>
      </c>
      <c r="C5" s="32"/>
      <c r="D5" s="29"/>
      <c r="E5" s="29"/>
      <c r="F5" s="29"/>
      <c r="G5" s="2"/>
      <c r="H5" s="2"/>
      <c r="I5" s="2"/>
      <c r="J5" s="2"/>
      <c r="K5" s="2"/>
      <c r="N5" s="4"/>
      <c r="O5" s="4"/>
      <c r="P5" s="4"/>
      <c r="Q5" s="4"/>
      <c r="R5" s="2"/>
      <c r="S5" s="2"/>
      <c r="T5" s="2"/>
      <c r="U5" s="2"/>
      <c r="V5" s="2"/>
      <c r="W5" s="2"/>
      <c r="X5" s="2"/>
      <c r="Y5" s="2"/>
      <c r="Z5" s="2"/>
      <c r="AA5" s="86"/>
    </row>
    <row r="6" spans="1:38" s="3" customFormat="1" ht="11.25" x14ac:dyDescent="0.2">
      <c r="A6" s="45" t="s">
        <v>69</v>
      </c>
      <c r="B6" s="29">
        <v>25</v>
      </c>
      <c r="C6" s="32"/>
      <c r="D6" s="29"/>
      <c r="E6" s="29"/>
      <c r="F6" s="29"/>
      <c r="G6" s="2"/>
      <c r="H6" s="2"/>
      <c r="I6" s="2"/>
      <c r="J6" s="2"/>
      <c r="K6" s="2"/>
      <c r="L6" s="4"/>
      <c r="M6" s="4"/>
      <c r="N6" s="4"/>
      <c r="O6" s="4"/>
      <c r="P6" s="4"/>
      <c r="Q6" s="4"/>
      <c r="R6" s="2"/>
      <c r="S6" s="2"/>
      <c r="T6" s="2"/>
      <c r="U6" s="2"/>
      <c r="V6" s="2"/>
      <c r="W6" s="2"/>
      <c r="X6" s="2"/>
      <c r="Y6" s="2"/>
      <c r="Z6" s="2"/>
      <c r="AA6" s="86"/>
      <c r="AB6" s="59"/>
    </row>
    <row r="7" spans="1:38" s="3" customFormat="1" ht="11.25" x14ac:dyDescent="0.2">
      <c r="A7" s="43" t="s">
        <v>70</v>
      </c>
      <c r="B7" s="29">
        <f>B6*B4</f>
        <v>225</v>
      </c>
      <c r="C7" s="34"/>
      <c r="D7" s="34"/>
      <c r="E7" s="29"/>
      <c r="F7" s="29"/>
      <c r="G7" s="2"/>
      <c r="H7" s="2"/>
      <c r="I7" s="2"/>
      <c r="J7" s="2"/>
      <c r="K7" s="2"/>
      <c r="L7" s="2"/>
      <c r="M7" s="2"/>
      <c r="N7" s="2"/>
      <c r="O7" s="2"/>
      <c r="P7" s="2"/>
      <c r="Q7" s="2"/>
      <c r="R7" s="2"/>
      <c r="S7" s="2"/>
      <c r="T7" s="2"/>
      <c r="U7" s="2"/>
      <c r="V7" s="2"/>
      <c r="W7" s="2"/>
      <c r="X7" s="2"/>
      <c r="Y7" s="2"/>
      <c r="Z7" s="2"/>
      <c r="AA7" s="86"/>
    </row>
    <row r="8" spans="1:38" s="3" customFormat="1" ht="11.25" x14ac:dyDescent="0.2">
      <c r="A8" s="43" t="s">
        <v>71</v>
      </c>
      <c r="B8" s="28">
        <f>B7/B5</f>
        <v>118.42105263157896</v>
      </c>
      <c r="C8" s="29"/>
      <c r="D8" s="34"/>
      <c r="E8" s="29"/>
      <c r="F8" s="29"/>
      <c r="G8" s="2"/>
      <c r="H8" s="2"/>
      <c r="I8" s="2"/>
      <c r="J8" s="2"/>
      <c r="K8" s="2"/>
      <c r="L8" s="2"/>
      <c r="M8" s="2"/>
      <c r="N8" s="2"/>
      <c r="O8" s="2"/>
      <c r="P8" s="2"/>
      <c r="Q8" s="2"/>
      <c r="R8" s="2"/>
      <c r="S8" s="2"/>
      <c r="T8" s="2"/>
      <c r="U8" s="2"/>
      <c r="V8" s="2"/>
      <c r="W8" s="2"/>
      <c r="X8" s="2"/>
      <c r="Y8" s="2"/>
      <c r="Z8" s="2"/>
      <c r="AA8" s="86"/>
    </row>
    <row r="9" spans="1:38" s="3" customFormat="1" ht="11.25" x14ac:dyDescent="0.2">
      <c r="A9" s="43" t="s">
        <v>72</v>
      </c>
      <c r="B9" s="28">
        <f>B4*C9</f>
        <v>9</v>
      </c>
      <c r="C9" s="29">
        <v>1</v>
      </c>
      <c r="D9" s="150" t="s">
        <v>73</v>
      </c>
      <c r="E9" s="29"/>
      <c r="F9" s="2"/>
      <c r="G9" s="56" t="s">
        <v>74</v>
      </c>
      <c r="H9" s="57">
        <v>0.4</v>
      </c>
      <c r="I9" s="2"/>
      <c r="J9" s="2"/>
      <c r="K9" s="2"/>
      <c r="L9" s="2"/>
      <c r="M9" s="2"/>
      <c r="N9" s="2"/>
      <c r="O9" s="2"/>
      <c r="P9" s="2"/>
      <c r="Q9" s="2"/>
      <c r="R9" s="2"/>
      <c r="S9" s="2"/>
      <c r="T9" s="2"/>
      <c r="U9" s="2"/>
      <c r="V9" s="2"/>
      <c r="W9" s="2"/>
      <c r="X9" s="2"/>
      <c r="Y9" s="2"/>
      <c r="Z9" s="2"/>
      <c r="AA9" s="86"/>
    </row>
    <row r="10" spans="1:38" s="3" customFormat="1" ht="11.25" x14ac:dyDescent="0.2">
      <c r="A10" s="43" t="s">
        <v>75</v>
      </c>
      <c r="B10" s="28">
        <f>B4*C10</f>
        <v>24.3</v>
      </c>
      <c r="C10" s="29">
        <v>2.7</v>
      </c>
      <c r="D10" s="150" t="s">
        <v>73</v>
      </c>
      <c r="E10" s="29"/>
      <c r="F10" s="2"/>
      <c r="G10" s="58" t="s">
        <v>76</v>
      </c>
      <c r="H10" s="57">
        <v>0.29899999999999999</v>
      </c>
      <c r="I10" s="2"/>
      <c r="J10" s="2"/>
      <c r="K10" s="2"/>
      <c r="L10" s="2"/>
      <c r="M10" s="2"/>
      <c r="N10" s="2"/>
      <c r="O10" s="2"/>
      <c r="P10" s="2"/>
      <c r="Q10" s="2"/>
      <c r="R10" s="2"/>
      <c r="S10" s="2"/>
      <c r="T10" s="2"/>
      <c r="U10" s="2"/>
      <c r="V10" s="2"/>
      <c r="W10" s="2"/>
      <c r="X10" s="2"/>
      <c r="Y10" s="2"/>
      <c r="Z10" s="2"/>
      <c r="AA10" s="86"/>
    </row>
    <row r="11" spans="1:38" s="3" customFormat="1" ht="11.25" x14ac:dyDescent="0.2">
      <c r="A11" s="149" t="s">
        <v>77</v>
      </c>
      <c r="B11" s="3">
        <f>C11*B4</f>
        <v>1.8</v>
      </c>
      <c r="C11" s="4">
        <v>0.2</v>
      </c>
      <c r="D11" s="150" t="s">
        <v>73</v>
      </c>
      <c r="E11" s="29"/>
      <c r="F11" s="2"/>
      <c r="G11" s="58"/>
      <c r="H11" s="57"/>
      <c r="I11" s="2"/>
      <c r="J11" s="2"/>
      <c r="K11" s="2"/>
      <c r="L11" s="2"/>
      <c r="M11" s="2"/>
      <c r="N11" s="2"/>
      <c r="O11" s="2"/>
      <c r="P11" s="2"/>
      <c r="Q11" s="2"/>
      <c r="R11" s="2"/>
      <c r="S11" s="2"/>
      <c r="T11" s="2"/>
      <c r="U11" s="2"/>
      <c r="V11" s="2"/>
      <c r="W11" s="2"/>
      <c r="X11" s="2"/>
      <c r="Y11" s="2"/>
      <c r="Z11" s="2"/>
      <c r="AA11" s="86"/>
    </row>
    <row r="12" spans="1:38" s="3" customFormat="1" ht="11.25" x14ac:dyDescent="0.2">
      <c r="A12" s="40"/>
      <c r="B12" s="41"/>
      <c r="C12" s="39"/>
      <c r="D12" s="41"/>
      <c r="E12" s="39"/>
      <c r="F12" s="39"/>
      <c r="G12" s="2"/>
      <c r="H12" s="2"/>
      <c r="I12" s="2"/>
      <c r="J12" s="2"/>
      <c r="K12" s="2"/>
      <c r="L12" s="2"/>
      <c r="M12" s="2"/>
      <c r="N12" s="2"/>
      <c r="O12" s="2"/>
      <c r="P12" s="2"/>
      <c r="Q12" s="2"/>
      <c r="R12" s="2"/>
      <c r="S12" s="2"/>
      <c r="T12" s="2"/>
      <c r="U12" s="2"/>
      <c r="V12" s="2"/>
      <c r="W12" s="2"/>
      <c r="X12" s="2"/>
      <c r="Y12" s="2"/>
      <c r="Z12" s="2"/>
      <c r="AA12" s="86"/>
    </row>
    <row r="13" spans="1:38" s="5" customFormat="1" ht="59.25" x14ac:dyDescent="0.4">
      <c r="A13" s="532" t="s">
        <v>79</v>
      </c>
      <c r="B13" s="533" t="s">
        <v>80</v>
      </c>
      <c r="C13" s="533" t="s">
        <v>80</v>
      </c>
      <c r="D13" s="533" t="s">
        <v>80</v>
      </c>
      <c r="E13" s="533" t="s">
        <v>80</v>
      </c>
      <c r="F13" s="533" t="s">
        <v>81</v>
      </c>
      <c r="G13" s="533" t="s">
        <v>81</v>
      </c>
      <c r="H13" s="533" t="s">
        <v>81</v>
      </c>
      <c r="I13" s="533" t="s">
        <v>81</v>
      </c>
      <c r="J13" s="533" t="s">
        <v>81</v>
      </c>
      <c r="K13" s="414" t="s">
        <v>83</v>
      </c>
      <c r="L13" s="414" t="s">
        <v>83</v>
      </c>
      <c r="M13" s="414" t="s">
        <v>83</v>
      </c>
      <c r="N13" s="533" t="s">
        <v>122</v>
      </c>
      <c r="O13" s="533" t="s">
        <v>122</v>
      </c>
      <c r="P13" s="533" t="s">
        <v>122</v>
      </c>
      <c r="Q13" s="533" t="s">
        <v>85</v>
      </c>
      <c r="R13" s="533" t="s">
        <v>85</v>
      </c>
      <c r="S13" s="533" t="s">
        <v>85</v>
      </c>
      <c r="T13" s="533" t="s">
        <v>85</v>
      </c>
      <c r="U13" s="533" t="s">
        <v>85</v>
      </c>
      <c r="V13" s="533" t="s">
        <v>85</v>
      </c>
      <c r="W13" s="533" t="s">
        <v>122</v>
      </c>
      <c r="X13" s="533" t="s">
        <v>122</v>
      </c>
      <c r="Y13" s="548" t="s">
        <v>122</v>
      </c>
      <c r="Z13" s="416" t="s">
        <v>86</v>
      </c>
      <c r="AA13" s="85"/>
      <c r="AF13" s="87"/>
      <c r="AG13" s="88" t="s">
        <v>87</v>
      </c>
      <c r="AH13" s="89"/>
      <c r="AI13" s="89"/>
      <c r="AJ13" s="89"/>
      <c r="AK13" s="3"/>
      <c r="AL13" s="3"/>
    </row>
    <row r="14" spans="1:38" s="6" customFormat="1" ht="12" x14ac:dyDescent="0.2">
      <c r="A14" s="532" t="s">
        <v>88</v>
      </c>
      <c r="B14" s="534" t="s">
        <v>89</v>
      </c>
      <c r="C14" s="534" t="s">
        <v>90</v>
      </c>
      <c r="D14" s="534" t="s">
        <v>91</v>
      </c>
      <c r="E14" s="534" t="s">
        <v>92</v>
      </c>
      <c r="F14" s="534" t="s">
        <v>93</v>
      </c>
      <c r="G14" s="534" t="s">
        <v>94</v>
      </c>
      <c r="H14" s="534" t="s">
        <v>95</v>
      </c>
      <c r="I14" s="534" t="s">
        <v>96</v>
      </c>
      <c r="J14" s="534" t="s">
        <v>97</v>
      </c>
      <c r="K14" s="534" t="s">
        <v>98</v>
      </c>
      <c r="L14" s="534" t="s">
        <v>99</v>
      </c>
      <c r="M14" s="534" t="s">
        <v>100</v>
      </c>
      <c r="N14" s="534" t="s">
        <v>101</v>
      </c>
      <c r="O14" s="534" t="s">
        <v>102</v>
      </c>
      <c r="P14" s="534" t="s">
        <v>104</v>
      </c>
      <c r="Q14" s="534" t="s">
        <v>105</v>
      </c>
      <c r="R14" s="534" t="s">
        <v>106</v>
      </c>
      <c r="S14" s="534" t="s">
        <v>107</v>
      </c>
      <c r="T14" s="534" t="s">
        <v>108</v>
      </c>
      <c r="U14" s="534" t="s">
        <v>109</v>
      </c>
      <c r="V14" s="534" t="s">
        <v>110</v>
      </c>
      <c r="W14" s="534" t="s">
        <v>111</v>
      </c>
      <c r="X14" s="534" t="s">
        <v>273</v>
      </c>
      <c r="Y14" s="549" t="s">
        <v>112</v>
      </c>
      <c r="Z14" s="417" t="s">
        <v>116</v>
      </c>
      <c r="AA14" s="90">
        <v>1</v>
      </c>
      <c r="AF14" s="87"/>
      <c r="AG14" s="91"/>
      <c r="AH14" s="91"/>
      <c r="AI14" s="91"/>
      <c r="AJ14" s="91"/>
      <c r="AK14" s="5"/>
      <c r="AL14" s="5"/>
    </row>
    <row r="15" spans="1:38" s="6" customFormat="1" ht="12" x14ac:dyDescent="0.2">
      <c r="A15" s="532" t="s">
        <v>117</v>
      </c>
      <c r="B15" s="535">
        <v>1</v>
      </c>
      <c r="C15" s="535">
        <v>2</v>
      </c>
      <c r="D15" s="535">
        <v>3</v>
      </c>
      <c r="E15" s="535">
        <v>4</v>
      </c>
      <c r="F15" s="535">
        <v>5</v>
      </c>
      <c r="G15" s="535">
        <v>6</v>
      </c>
      <c r="H15" s="535">
        <v>7</v>
      </c>
      <c r="I15" s="535">
        <v>8</v>
      </c>
      <c r="J15" s="535">
        <v>9</v>
      </c>
      <c r="K15" s="535">
        <v>10</v>
      </c>
      <c r="L15" s="535">
        <v>11</v>
      </c>
      <c r="M15" s="535">
        <v>12</v>
      </c>
      <c r="N15" s="535">
        <v>13</v>
      </c>
      <c r="O15" s="535">
        <v>14</v>
      </c>
      <c r="P15" s="535">
        <v>15</v>
      </c>
      <c r="Q15" s="535">
        <v>16</v>
      </c>
      <c r="R15" s="535">
        <v>17</v>
      </c>
      <c r="S15" s="535">
        <v>18</v>
      </c>
      <c r="T15" s="535">
        <v>19</v>
      </c>
      <c r="U15" s="535">
        <v>20</v>
      </c>
      <c r="V15" s="535">
        <v>21</v>
      </c>
      <c r="W15" s="535">
        <v>22</v>
      </c>
      <c r="X15" s="535">
        <v>23</v>
      </c>
      <c r="Y15" s="550">
        <v>24</v>
      </c>
      <c r="Z15" s="417">
        <v>28</v>
      </c>
      <c r="AA15" s="92">
        <v>2</v>
      </c>
      <c r="AF15" s="87"/>
      <c r="AG15" s="91"/>
      <c r="AH15" s="91"/>
      <c r="AI15" s="91"/>
      <c r="AJ15" s="91"/>
    </row>
    <row r="16" spans="1:38" ht="12" x14ac:dyDescent="0.2">
      <c r="A16" s="532" t="s">
        <v>118</v>
      </c>
      <c r="B16" s="654" t="s">
        <v>119</v>
      </c>
      <c r="C16" s="659"/>
      <c r="D16" s="659"/>
      <c r="E16" s="655"/>
      <c r="F16" s="656" t="s">
        <v>274</v>
      </c>
      <c r="G16" s="657"/>
      <c r="H16" s="656" t="s">
        <v>275</v>
      </c>
      <c r="I16" s="657"/>
      <c r="J16" s="658"/>
      <c r="K16" s="654" t="s">
        <v>276</v>
      </c>
      <c r="L16" s="659"/>
      <c r="M16" s="655"/>
      <c r="N16" s="656" t="s">
        <v>277</v>
      </c>
      <c r="O16" s="657"/>
      <c r="P16" s="658"/>
      <c r="Q16" s="656" t="s">
        <v>123</v>
      </c>
      <c r="R16" s="657"/>
      <c r="S16" s="657"/>
      <c r="T16" s="657"/>
      <c r="U16" s="657"/>
      <c r="V16" s="658"/>
      <c r="W16" s="656" t="s">
        <v>278</v>
      </c>
      <c r="X16" s="657"/>
      <c r="Y16" s="657"/>
      <c r="Z16" s="417" t="s">
        <v>124</v>
      </c>
      <c r="AA16" s="90">
        <v>3</v>
      </c>
      <c r="AF16" s="93"/>
      <c r="AG16" s="94"/>
      <c r="AH16" s="95"/>
      <c r="AI16" s="87"/>
      <c r="AJ16" s="87"/>
      <c r="AK16" s="6"/>
      <c r="AL16" s="6"/>
    </row>
    <row r="17" spans="1:38" x14ac:dyDescent="0.2">
      <c r="A17" s="97" t="s">
        <v>125</v>
      </c>
      <c r="B17" s="450"/>
      <c r="C17" s="247"/>
      <c r="D17" s="247"/>
      <c r="E17" s="247"/>
      <c r="F17" s="247"/>
      <c r="G17" s="247"/>
      <c r="H17" s="247"/>
      <c r="I17" s="247"/>
      <c r="J17" s="247"/>
      <c r="K17" s="247"/>
      <c r="L17" s="247"/>
      <c r="M17" s="247"/>
      <c r="N17" s="247"/>
      <c r="O17" s="247"/>
      <c r="P17" s="247"/>
      <c r="Q17" s="248"/>
      <c r="R17" s="248"/>
      <c r="S17" s="248"/>
      <c r="T17" s="248"/>
      <c r="U17" s="248"/>
      <c r="V17" s="551"/>
      <c r="W17" s="247"/>
      <c r="X17" s="247"/>
      <c r="Y17" s="247"/>
      <c r="Z17" s="421"/>
      <c r="AA17" s="92">
        <v>4</v>
      </c>
      <c r="AF17" s="93"/>
      <c r="AG17" s="629" t="s">
        <v>126</v>
      </c>
      <c r="AH17" s="629"/>
      <c r="AI17" s="629"/>
      <c r="AJ17" s="629"/>
    </row>
    <row r="18" spans="1:38" s="99" customFormat="1" ht="12" x14ac:dyDescent="0.2">
      <c r="A18" s="418" t="s">
        <v>127</v>
      </c>
      <c r="B18" s="419">
        <f t="shared" ref="B18:P18" si="0">IF(B96&lt;80,B97,MIN(B96,80))</f>
        <v>0</v>
      </c>
      <c r="C18" s="419">
        <f t="shared" si="0"/>
        <v>0</v>
      </c>
      <c r="D18" s="419">
        <f t="shared" si="0"/>
        <v>0</v>
      </c>
      <c r="E18" s="419">
        <f t="shared" si="0"/>
        <v>0</v>
      </c>
      <c r="F18" s="419">
        <f t="shared" si="0"/>
        <v>0</v>
      </c>
      <c r="G18" s="419">
        <f t="shared" si="0"/>
        <v>1.7452560389543308</v>
      </c>
      <c r="H18" s="419">
        <f t="shared" si="0"/>
        <v>6.7452560389543308</v>
      </c>
      <c r="I18" s="419">
        <f t="shared" si="0"/>
        <v>11.745256038954331</v>
      </c>
      <c r="J18" s="419">
        <f t="shared" si="0"/>
        <v>26.745256038954331</v>
      </c>
      <c r="K18" s="419">
        <f t="shared" si="0"/>
        <v>46.745256038954331</v>
      </c>
      <c r="L18" s="419">
        <f t="shared" si="0"/>
        <v>56.745256038954331</v>
      </c>
      <c r="M18" s="419">
        <f t="shared" si="0"/>
        <v>80</v>
      </c>
      <c r="N18" s="419">
        <f t="shared" si="0"/>
        <v>80</v>
      </c>
      <c r="O18" s="419">
        <f t="shared" si="0"/>
        <v>80</v>
      </c>
      <c r="P18" s="419">
        <f t="shared" si="0"/>
        <v>80</v>
      </c>
      <c r="Q18" s="419">
        <f t="shared" ref="Q18:V18" si="1">IF(T96&lt;80,T97,MIN(T96,80))</f>
        <v>80</v>
      </c>
      <c r="R18" s="419">
        <f t="shared" si="1"/>
        <v>80</v>
      </c>
      <c r="S18" s="419">
        <f t="shared" si="1"/>
        <v>80</v>
      </c>
      <c r="T18" s="419">
        <f t="shared" si="1"/>
        <v>80</v>
      </c>
      <c r="U18" s="419">
        <f t="shared" si="1"/>
        <v>80</v>
      </c>
      <c r="V18" s="419">
        <f t="shared" si="1"/>
        <v>80</v>
      </c>
      <c r="W18" s="419">
        <f>IF(S96&lt;80,S97,MIN(S96,80))</f>
        <v>80</v>
      </c>
      <c r="X18" s="419">
        <f>IF(Q96&lt;80,Q97,MIN(Q96,80))</f>
        <v>80</v>
      </c>
      <c r="Y18" s="420">
        <f>IF(R96&lt;80,R97,MIN(R96,80))</f>
        <v>80</v>
      </c>
      <c r="Z18" s="419">
        <f>IF(Z96&lt;80,Z97,MIN(Z96,80))</f>
        <v>0</v>
      </c>
      <c r="AA18" s="90">
        <v>5</v>
      </c>
      <c r="AF18" s="93"/>
      <c r="AG18" s="102"/>
      <c r="AH18" s="102"/>
      <c r="AI18" s="101"/>
      <c r="AJ18" s="101"/>
      <c r="AK18" s="7"/>
      <c r="AL18" s="7"/>
    </row>
    <row r="19" spans="1:38" ht="12" x14ac:dyDescent="0.2">
      <c r="A19" s="421" t="s">
        <v>128</v>
      </c>
      <c r="B19" s="552">
        <v>0.5</v>
      </c>
      <c r="C19" s="552">
        <v>0.5</v>
      </c>
      <c r="D19" s="552">
        <v>0.5</v>
      </c>
      <c r="E19" s="552">
        <v>0.5</v>
      </c>
      <c r="F19" s="552">
        <v>0.55000000000000004</v>
      </c>
      <c r="G19" s="552">
        <v>0.55000000000000004</v>
      </c>
      <c r="H19" s="552">
        <v>0.6</v>
      </c>
      <c r="I19" s="552">
        <v>0.65</v>
      </c>
      <c r="J19" s="552">
        <v>0.65</v>
      </c>
      <c r="K19" s="552">
        <v>0.7</v>
      </c>
      <c r="L19" s="552">
        <v>0.7</v>
      </c>
      <c r="M19" s="552">
        <v>0.7</v>
      </c>
      <c r="N19" s="552">
        <v>0.7</v>
      </c>
      <c r="O19" s="552">
        <v>0.7</v>
      </c>
      <c r="P19" s="552">
        <v>0.7</v>
      </c>
      <c r="Q19" s="552">
        <v>0.8</v>
      </c>
      <c r="R19" s="552">
        <v>0.8</v>
      </c>
      <c r="S19" s="552">
        <v>0.8</v>
      </c>
      <c r="T19" s="552">
        <v>0.8</v>
      </c>
      <c r="U19" s="552">
        <v>0.8</v>
      </c>
      <c r="V19" s="552">
        <v>0.7</v>
      </c>
      <c r="W19" s="552">
        <v>0.4</v>
      </c>
      <c r="X19" s="552">
        <v>0.7</v>
      </c>
      <c r="Y19" s="322">
        <v>0.7</v>
      </c>
      <c r="Z19" s="425">
        <f>H9</f>
        <v>0.4</v>
      </c>
      <c r="AA19" s="92">
        <v>6</v>
      </c>
      <c r="AF19" s="93"/>
      <c r="AG19" s="96" t="s">
        <v>129</v>
      </c>
      <c r="AH19" s="96"/>
      <c r="AI19" s="103"/>
      <c r="AJ19" s="103"/>
      <c r="AK19" s="99"/>
      <c r="AL19" s="99"/>
    </row>
    <row r="20" spans="1:38" ht="12" x14ac:dyDescent="0.2">
      <c r="A20" s="423" t="s">
        <v>130</v>
      </c>
      <c r="B20" s="553"/>
      <c r="C20" s="155"/>
      <c r="D20" s="155"/>
      <c r="E20" s="155"/>
      <c r="F20" s="155"/>
      <c r="G20" s="155"/>
      <c r="H20" s="155"/>
      <c r="I20" s="155"/>
      <c r="J20" s="155"/>
      <c r="K20" s="155"/>
      <c r="L20" s="155"/>
      <c r="M20" s="155"/>
      <c r="N20" s="155"/>
      <c r="O20" s="155"/>
      <c r="P20" s="155"/>
      <c r="Q20" s="155"/>
      <c r="R20" s="155"/>
      <c r="S20" s="155"/>
      <c r="T20" s="155"/>
      <c r="U20" s="155"/>
      <c r="V20" s="554"/>
      <c r="W20" s="155"/>
      <c r="X20" s="155"/>
      <c r="Y20" s="155"/>
      <c r="Z20" s="425"/>
      <c r="AA20" s="90">
        <v>7</v>
      </c>
      <c r="AF20" s="93"/>
      <c r="AG20" s="87"/>
      <c r="AH20" s="426" t="s">
        <v>89</v>
      </c>
      <c r="AI20" s="104" t="s">
        <v>131</v>
      </c>
      <c r="AJ20" s="87"/>
    </row>
    <row r="21" spans="1:38" s="10" customFormat="1" ht="12" x14ac:dyDescent="0.2">
      <c r="A21" s="427" t="s">
        <v>132</v>
      </c>
      <c r="B21" s="152">
        <f t="shared" ref="B21:Z21" si="2">B19*$B$8</f>
        <v>59.21052631578948</v>
      </c>
      <c r="C21" s="152">
        <f t="shared" si="2"/>
        <v>59.21052631578948</v>
      </c>
      <c r="D21" s="152">
        <f t="shared" si="2"/>
        <v>59.21052631578948</v>
      </c>
      <c r="E21" s="152">
        <f t="shared" si="2"/>
        <v>59.21052631578948</v>
      </c>
      <c r="F21" s="152">
        <f t="shared" si="2"/>
        <v>65.131578947368439</v>
      </c>
      <c r="G21" s="152">
        <f t="shared" si="2"/>
        <v>65.131578947368439</v>
      </c>
      <c r="H21" s="152">
        <f t="shared" si="2"/>
        <v>71.05263157894737</v>
      </c>
      <c r="I21" s="152">
        <f t="shared" si="2"/>
        <v>76.973684210526329</v>
      </c>
      <c r="J21" s="152">
        <f t="shared" si="2"/>
        <v>76.973684210526329</v>
      </c>
      <c r="K21" s="152">
        <f t="shared" si="2"/>
        <v>82.89473684210526</v>
      </c>
      <c r="L21" s="152">
        <f t="shared" si="2"/>
        <v>82.89473684210526</v>
      </c>
      <c r="M21" s="152">
        <f t="shared" si="2"/>
        <v>82.89473684210526</v>
      </c>
      <c r="N21" s="152">
        <f t="shared" si="2"/>
        <v>82.89473684210526</v>
      </c>
      <c r="O21" s="152">
        <f t="shared" si="2"/>
        <v>82.89473684210526</v>
      </c>
      <c r="P21" s="152">
        <f t="shared" si="2"/>
        <v>82.89473684210526</v>
      </c>
      <c r="Q21" s="152">
        <f t="shared" si="2"/>
        <v>94.736842105263179</v>
      </c>
      <c r="R21" s="152">
        <f t="shared" si="2"/>
        <v>94.736842105263179</v>
      </c>
      <c r="S21" s="152">
        <f t="shared" si="2"/>
        <v>94.736842105263179</v>
      </c>
      <c r="T21" s="152">
        <f t="shared" si="2"/>
        <v>94.736842105263179</v>
      </c>
      <c r="U21" s="152">
        <f t="shared" si="2"/>
        <v>94.736842105263179</v>
      </c>
      <c r="V21" s="152">
        <f t="shared" si="2"/>
        <v>82.89473684210526</v>
      </c>
      <c r="W21" s="152">
        <f>W19*$B$8</f>
        <v>47.368421052631589</v>
      </c>
      <c r="X21" s="152">
        <f>X19*$B$8</f>
        <v>82.89473684210526</v>
      </c>
      <c r="Y21" s="323">
        <f>Y19*$B$8</f>
        <v>82.89473684210526</v>
      </c>
      <c r="Z21" s="428">
        <f t="shared" si="2"/>
        <v>47.368421052631589</v>
      </c>
      <c r="AA21" s="92">
        <v>8</v>
      </c>
      <c r="AF21" s="93"/>
      <c r="AG21" s="87"/>
      <c r="AH21" s="87"/>
      <c r="AI21" s="87"/>
      <c r="AJ21" s="87"/>
      <c r="AK21" s="7"/>
      <c r="AL21" s="7"/>
    </row>
    <row r="22" spans="1:38" s="11" customFormat="1" ht="12" x14ac:dyDescent="0.2">
      <c r="A22" s="427" t="s">
        <v>133</v>
      </c>
      <c r="B22" s="429">
        <f t="shared" ref="B22:Z22" si="3">B21*$B$5</f>
        <v>112.5</v>
      </c>
      <c r="C22" s="429">
        <f t="shared" si="3"/>
        <v>112.5</v>
      </c>
      <c r="D22" s="429">
        <f t="shared" si="3"/>
        <v>112.5</v>
      </c>
      <c r="E22" s="429">
        <f t="shared" si="3"/>
        <v>112.5</v>
      </c>
      <c r="F22" s="429">
        <f t="shared" si="3"/>
        <v>123.75000000000003</v>
      </c>
      <c r="G22" s="429">
        <f t="shared" si="3"/>
        <v>123.75000000000003</v>
      </c>
      <c r="H22" s="429">
        <f t="shared" si="3"/>
        <v>135</v>
      </c>
      <c r="I22" s="429">
        <f t="shared" si="3"/>
        <v>146.25000000000003</v>
      </c>
      <c r="J22" s="429">
        <f t="shared" si="3"/>
        <v>146.25000000000003</v>
      </c>
      <c r="K22" s="429">
        <f t="shared" si="3"/>
        <v>157.5</v>
      </c>
      <c r="L22" s="429">
        <f t="shared" si="3"/>
        <v>157.5</v>
      </c>
      <c r="M22" s="429">
        <f t="shared" si="3"/>
        <v>157.5</v>
      </c>
      <c r="N22" s="429">
        <f t="shared" si="3"/>
        <v>157.5</v>
      </c>
      <c r="O22" s="429">
        <f t="shared" si="3"/>
        <v>157.5</v>
      </c>
      <c r="P22" s="429">
        <f t="shared" si="3"/>
        <v>157.5</v>
      </c>
      <c r="Q22" s="429">
        <f t="shared" si="3"/>
        <v>180.00000000000003</v>
      </c>
      <c r="R22" s="429">
        <f t="shared" si="3"/>
        <v>180.00000000000003</v>
      </c>
      <c r="S22" s="429">
        <f t="shared" si="3"/>
        <v>180.00000000000003</v>
      </c>
      <c r="T22" s="429">
        <f t="shared" si="3"/>
        <v>180.00000000000003</v>
      </c>
      <c r="U22" s="429">
        <f t="shared" si="3"/>
        <v>180.00000000000003</v>
      </c>
      <c r="V22" s="429">
        <f t="shared" si="3"/>
        <v>157.5</v>
      </c>
      <c r="W22" s="429">
        <f>W21*$B$5</f>
        <v>90.000000000000014</v>
      </c>
      <c r="X22" s="429">
        <f>X21*$B$5</f>
        <v>157.5</v>
      </c>
      <c r="Y22" s="430">
        <f>Y21*$B$5</f>
        <v>157.5</v>
      </c>
      <c r="Z22" s="429">
        <f t="shared" si="3"/>
        <v>90.000000000000014</v>
      </c>
      <c r="AA22" s="90">
        <v>9</v>
      </c>
      <c r="AF22" s="93"/>
      <c r="AG22" s="431" t="s">
        <v>134</v>
      </c>
      <c r="AH22" s="432">
        <f>HLOOKUP($AH$20,$B$14:$AA$67,AA36,FALSE)</f>
        <v>3.5</v>
      </c>
      <c r="AI22" s="105"/>
      <c r="AJ22" s="87"/>
      <c r="AK22" s="10"/>
      <c r="AL22" s="10"/>
    </row>
    <row r="23" spans="1:38" s="11" customFormat="1" ht="12" x14ac:dyDescent="0.2">
      <c r="A23" s="427" t="s">
        <v>135</v>
      </c>
      <c r="B23" s="433">
        <f t="shared" ref="B23:Z23" si="4">$B$9</f>
        <v>9</v>
      </c>
      <c r="C23" s="433">
        <f t="shared" si="4"/>
        <v>9</v>
      </c>
      <c r="D23" s="433">
        <f t="shared" si="4"/>
        <v>9</v>
      </c>
      <c r="E23" s="433">
        <f t="shared" si="4"/>
        <v>9</v>
      </c>
      <c r="F23" s="433">
        <f t="shared" si="4"/>
        <v>9</v>
      </c>
      <c r="G23" s="433">
        <f t="shared" si="4"/>
        <v>9</v>
      </c>
      <c r="H23" s="433">
        <f t="shared" si="4"/>
        <v>9</v>
      </c>
      <c r="I23" s="433">
        <f t="shared" si="4"/>
        <v>9</v>
      </c>
      <c r="J23" s="433">
        <f t="shared" si="4"/>
        <v>9</v>
      </c>
      <c r="K23" s="433">
        <f t="shared" si="4"/>
        <v>9</v>
      </c>
      <c r="L23" s="433">
        <f t="shared" si="4"/>
        <v>9</v>
      </c>
      <c r="M23" s="433">
        <f t="shared" si="4"/>
        <v>9</v>
      </c>
      <c r="N23" s="433">
        <f t="shared" si="4"/>
        <v>9</v>
      </c>
      <c r="O23" s="433">
        <f t="shared" si="4"/>
        <v>9</v>
      </c>
      <c r="P23" s="433">
        <f t="shared" si="4"/>
        <v>9</v>
      </c>
      <c r="Q23" s="433">
        <f t="shared" si="4"/>
        <v>9</v>
      </c>
      <c r="R23" s="433">
        <f t="shared" si="4"/>
        <v>9</v>
      </c>
      <c r="S23" s="433">
        <f t="shared" si="4"/>
        <v>9</v>
      </c>
      <c r="T23" s="433">
        <f t="shared" si="4"/>
        <v>9</v>
      </c>
      <c r="U23" s="433">
        <f t="shared" si="4"/>
        <v>9</v>
      </c>
      <c r="V23" s="433">
        <f t="shared" si="4"/>
        <v>9</v>
      </c>
      <c r="W23" s="433">
        <f t="shared" si="4"/>
        <v>9</v>
      </c>
      <c r="X23" s="433">
        <f t="shared" si="4"/>
        <v>9</v>
      </c>
      <c r="Y23" s="434">
        <f t="shared" si="4"/>
        <v>9</v>
      </c>
      <c r="Z23" s="433">
        <f t="shared" si="4"/>
        <v>9</v>
      </c>
      <c r="AA23" s="92">
        <v>10</v>
      </c>
      <c r="AF23" s="93"/>
      <c r="AG23" s="431" t="s">
        <v>136</v>
      </c>
      <c r="AH23" s="432">
        <f>IF(HLOOKUP($AH$20,$B$14:$AA$67,AA50,FALSE)/HLOOKUP($AH$20,$B$14:$AA$67,AA35,FALSE)&lt;3,ROUND(HLOOKUP($AH$20,$B$14:$AA$67,AA50,FALSE)/HLOOKUP($AH$20,$B$14:$AA$67,AA35,FALSE),0),3)</f>
        <v>0</v>
      </c>
      <c r="AI23" s="96"/>
      <c r="AJ23" s="87"/>
    </row>
    <row r="24" spans="1:38" s="11" customFormat="1" ht="12" x14ac:dyDescent="0.2">
      <c r="A24" s="427" t="s">
        <v>137</v>
      </c>
      <c r="B24" s="433">
        <f t="shared" ref="B24:P24" si="5">IF(ISBLANK(B120),0,$B$10)</f>
        <v>0</v>
      </c>
      <c r="C24" s="433">
        <f t="shared" si="5"/>
        <v>0</v>
      </c>
      <c r="D24" s="433">
        <f t="shared" si="5"/>
        <v>0</v>
      </c>
      <c r="E24" s="433">
        <f t="shared" si="5"/>
        <v>0</v>
      </c>
      <c r="F24" s="433">
        <f t="shared" si="5"/>
        <v>0</v>
      </c>
      <c r="G24" s="433">
        <f t="shared" si="5"/>
        <v>0</v>
      </c>
      <c r="H24" s="433">
        <f t="shared" si="5"/>
        <v>0</v>
      </c>
      <c r="I24" s="433">
        <f t="shared" si="5"/>
        <v>0</v>
      </c>
      <c r="J24" s="433">
        <f t="shared" si="5"/>
        <v>0</v>
      </c>
      <c r="K24" s="433">
        <f t="shared" si="5"/>
        <v>0</v>
      </c>
      <c r="L24" s="433">
        <f t="shared" si="5"/>
        <v>0</v>
      </c>
      <c r="M24" s="433">
        <f t="shared" si="5"/>
        <v>0</v>
      </c>
      <c r="N24" s="433">
        <f t="shared" si="5"/>
        <v>0</v>
      </c>
      <c r="O24" s="433">
        <f t="shared" si="5"/>
        <v>0</v>
      </c>
      <c r="P24" s="433">
        <f t="shared" si="5"/>
        <v>0</v>
      </c>
      <c r="Q24" s="433">
        <f t="shared" ref="Q24:V24" si="6">IF(ISBLANK(T120),0,$B$10)</f>
        <v>24.3</v>
      </c>
      <c r="R24" s="433">
        <f t="shared" si="6"/>
        <v>24.3</v>
      </c>
      <c r="S24" s="433">
        <f t="shared" si="6"/>
        <v>24.3</v>
      </c>
      <c r="T24" s="433">
        <f t="shared" si="6"/>
        <v>24.3</v>
      </c>
      <c r="U24" s="433">
        <f t="shared" si="6"/>
        <v>24.3</v>
      </c>
      <c r="V24" s="433">
        <f t="shared" si="6"/>
        <v>24.3</v>
      </c>
      <c r="W24" s="433">
        <f>IF(ISBLANK(S120),0,$B$10)</f>
        <v>0</v>
      </c>
      <c r="X24" s="433">
        <f>IF(ISBLANK(Q120),0,$B$10)</f>
        <v>0</v>
      </c>
      <c r="Y24" s="434">
        <f>IF(ISBLANK(R120),0,$B$10)</f>
        <v>0</v>
      </c>
      <c r="Z24" s="433">
        <f>IF(ISBLANK(Z120),0,$B$10)</f>
        <v>0</v>
      </c>
      <c r="AA24" s="90">
        <v>11</v>
      </c>
      <c r="AF24" s="93"/>
      <c r="AG24" s="99" t="s">
        <v>138</v>
      </c>
      <c r="AI24" s="34"/>
      <c r="AJ24" s="87"/>
    </row>
    <row r="25" spans="1:38" s="11" customFormat="1" ht="12" x14ac:dyDescent="0.2">
      <c r="A25" s="427" t="s">
        <v>139</v>
      </c>
      <c r="B25" s="429">
        <f t="shared" ref="B25:V25" si="7">B21*$B$5+SUM(B23:B24)</f>
        <v>121.5</v>
      </c>
      <c r="C25" s="429">
        <f t="shared" si="7"/>
        <v>121.5</v>
      </c>
      <c r="D25" s="429">
        <f t="shared" si="7"/>
        <v>121.5</v>
      </c>
      <c r="E25" s="429">
        <f t="shared" si="7"/>
        <v>121.5</v>
      </c>
      <c r="F25" s="429">
        <f t="shared" si="7"/>
        <v>132.75000000000003</v>
      </c>
      <c r="G25" s="429">
        <f t="shared" si="7"/>
        <v>132.75000000000003</v>
      </c>
      <c r="H25" s="429">
        <f t="shared" si="7"/>
        <v>144</v>
      </c>
      <c r="I25" s="429">
        <f t="shared" si="7"/>
        <v>155.25000000000003</v>
      </c>
      <c r="J25" s="429">
        <f t="shared" si="7"/>
        <v>155.25000000000003</v>
      </c>
      <c r="K25" s="429">
        <f t="shared" si="7"/>
        <v>166.5</v>
      </c>
      <c r="L25" s="429">
        <f t="shared" si="7"/>
        <v>166.5</v>
      </c>
      <c r="M25" s="429">
        <f t="shared" si="7"/>
        <v>166.5</v>
      </c>
      <c r="N25" s="429">
        <f t="shared" si="7"/>
        <v>166.5</v>
      </c>
      <c r="O25" s="429">
        <f t="shared" si="7"/>
        <v>166.5</v>
      </c>
      <c r="P25" s="429">
        <f t="shared" si="7"/>
        <v>166.5</v>
      </c>
      <c r="Q25" s="429">
        <f t="shared" si="7"/>
        <v>213.3</v>
      </c>
      <c r="R25" s="429">
        <f t="shared" si="7"/>
        <v>213.3</v>
      </c>
      <c r="S25" s="429">
        <f t="shared" si="7"/>
        <v>213.3</v>
      </c>
      <c r="T25" s="429">
        <f t="shared" si="7"/>
        <v>213.3</v>
      </c>
      <c r="U25" s="429">
        <f t="shared" si="7"/>
        <v>213.3</v>
      </c>
      <c r="V25" s="429">
        <f t="shared" si="7"/>
        <v>190.8</v>
      </c>
      <c r="W25" s="429">
        <f>W21*$B$5+SUM(W23:W24)</f>
        <v>99.000000000000014</v>
      </c>
      <c r="X25" s="429">
        <f>X21*$B$5+SUM(X23:X24)</f>
        <v>166.5</v>
      </c>
      <c r="Y25" s="430">
        <f>Y21*$B$5+SUM(Y23:Y24)</f>
        <v>166.5</v>
      </c>
      <c r="Z25" s="429">
        <f t="shared" ref="Z25" si="8">Z21*$B$5+SUM(Z23:Z24)</f>
        <v>99.000000000000014</v>
      </c>
      <c r="AA25" s="92">
        <v>12</v>
      </c>
      <c r="AF25" s="93"/>
      <c r="AG25" s="87" t="s">
        <v>140</v>
      </c>
      <c r="AH25" s="106"/>
      <c r="AI25" s="34"/>
      <c r="AJ25" s="87"/>
    </row>
    <row r="26" spans="1:38" s="11" customFormat="1" ht="12" x14ac:dyDescent="0.2">
      <c r="A26" s="12" t="s">
        <v>141</v>
      </c>
      <c r="B26" s="13">
        <f t="shared" ref="B26:P26" si="9">-IF(ISBLANK(B119),0,ROUND(MIN(B$22*$H$10,B$22-$B$7*$H$9),1))</f>
        <v>-22.5</v>
      </c>
      <c r="C26" s="13">
        <f t="shared" si="9"/>
        <v>-22.5</v>
      </c>
      <c r="D26" s="13">
        <f t="shared" si="9"/>
        <v>-22.5</v>
      </c>
      <c r="E26" s="13">
        <f t="shared" si="9"/>
        <v>-22.5</v>
      </c>
      <c r="F26" s="13">
        <f t="shared" si="9"/>
        <v>-33.799999999999997</v>
      </c>
      <c r="G26" s="13">
        <f t="shared" si="9"/>
        <v>-33.799999999999997</v>
      </c>
      <c r="H26" s="13">
        <f t="shared" si="9"/>
        <v>-40.4</v>
      </c>
      <c r="I26" s="13">
        <f t="shared" si="9"/>
        <v>-43.7</v>
      </c>
      <c r="J26" s="13">
        <f t="shared" si="9"/>
        <v>-43.7</v>
      </c>
      <c r="K26" s="13">
        <f t="shared" si="9"/>
        <v>-47.1</v>
      </c>
      <c r="L26" s="13">
        <f t="shared" si="9"/>
        <v>-47.1</v>
      </c>
      <c r="M26" s="13">
        <f t="shared" si="9"/>
        <v>-47.1</v>
      </c>
      <c r="N26" s="13">
        <f t="shared" si="9"/>
        <v>-47.1</v>
      </c>
      <c r="O26" s="13">
        <f t="shared" si="9"/>
        <v>-47.1</v>
      </c>
      <c r="P26" s="13">
        <f t="shared" si="9"/>
        <v>-47.1</v>
      </c>
      <c r="Q26" s="13">
        <f t="shared" ref="Q26:V26" si="10">-IF(ISBLANK(T119),0,ROUND(MIN(Q$22*$H$10,Q$22-$B$7*$H$9),1))</f>
        <v>0</v>
      </c>
      <c r="R26" s="13">
        <f t="shared" si="10"/>
        <v>0</v>
      </c>
      <c r="S26" s="13">
        <f t="shared" si="10"/>
        <v>0</v>
      </c>
      <c r="T26" s="13">
        <f t="shared" si="10"/>
        <v>0</v>
      </c>
      <c r="U26" s="13">
        <f t="shared" si="10"/>
        <v>0</v>
      </c>
      <c r="V26" s="13">
        <f t="shared" si="10"/>
        <v>0</v>
      </c>
      <c r="W26" s="13">
        <f>-IF(ISBLANK(S119),0,ROUND(MIN(W$22*$H$10,W$22-$B$7*$H$9),1))</f>
        <v>0</v>
      </c>
      <c r="X26" s="13">
        <f>-IF(ISBLANK(Q119),0,ROUND(MIN(X$22*$H$10,X$22-$B$7*$H$9),1))</f>
        <v>-47.1</v>
      </c>
      <c r="Y26" s="81">
        <f>-IF(ISBLANK(R119),0,ROUND(MIN(Y$22*$H$10,Y$22-$B$7*$H$9),1))</f>
        <v>-47.1</v>
      </c>
      <c r="Z26" s="429">
        <f>-IF(ISBLANK(Z119),0,ROUND(MIN(Z$22*$H$10,Z$22-$B$7*$H$9),1))</f>
        <v>0</v>
      </c>
      <c r="AA26" s="90">
        <v>13</v>
      </c>
      <c r="AF26" s="93"/>
      <c r="AG26" s="87" t="s">
        <v>142</v>
      </c>
      <c r="AH26" s="106"/>
      <c r="AI26" s="34"/>
      <c r="AJ26" s="87"/>
    </row>
    <row r="27" spans="1:38" s="11" customFormat="1" ht="12" x14ac:dyDescent="0.2">
      <c r="A27" s="427" t="s">
        <v>143</v>
      </c>
      <c r="B27" s="13">
        <f t="shared" ref="B27:V27" si="11">SUM(B25:B26)</f>
        <v>99</v>
      </c>
      <c r="C27" s="13">
        <f t="shared" si="11"/>
        <v>99</v>
      </c>
      <c r="D27" s="13">
        <f t="shared" si="11"/>
        <v>99</v>
      </c>
      <c r="E27" s="13">
        <f t="shared" si="11"/>
        <v>99</v>
      </c>
      <c r="F27" s="13">
        <f t="shared" si="11"/>
        <v>98.950000000000031</v>
      </c>
      <c r="G27" s="13">
        <f t="shared" si="11"/>
        <v>98.950000000000031</v>
      </c>
      <c r="H27" s="13">
        <f t="shared" si="11"/>
        <v>103.6</v>
      </c>
      <c r="I27" s="13">
        <f t="shared" si="11"/>
        <v>111.55000000000003</v>
      </c>
      <c r="J27" s="13">
        <f t="shared" si="11"/>
        <v>111.55000000000003</v>
      </c>
      <c r="K27" s="13">
        <f t="shared" si="11"/>
        <v>119.4</v>
      </c>
      <c r="L27" s="13">
        <f t="shared" si="11"/>
        <v>119.4</v>
      </c>
      <c r="M27" s="13">
        <f t="shared" si="11"/>
        <v>119.4</v>
      </c>
      <c r="N27" s="13">
        <f t="shared" si="11"/>
        <v>119.4</v>
      </c>
      <c r="O27" s="13">
        <f t="shared" si="11"/>
        <v>119.4</v>
      </c>
      <c r="P27" s="13">
        <f t="shared" si="11"/>
        <v>119.4</v>
      </c>
      <c r="Q27" s="13">
        <f t="shared" si="11"/>
        <v>213.3</v>
      </c>
      <c r="R27" s="13">
        <f t="shared" si="11"/>
        <v>213.3</v>
      </c>
      <c r="S27" s="13">
        <f t="shared" si="11"/>
        <v>213.3</v>
      </c>
      <c r="T27" s="13">
        <f t="shared" si="11"/>
        <v>213.3</v>
      </c>
      <c r="U27" s="13">
        <f t="shared" si="11"/>
        <v>213.3</v>
      </c>
      <c r="V27" s="13">
        <f t="shared" si="11"/>
        <v>190.8</v>
      </c>
      <c r="W27" s="13">
        <f>SUM(W25:W26)</f>
        <v>99.000000000000014</v>
      </c>
      <c r="X27" s="13">
        <f>SUM(X25:X26)</f>
        <v>119.4</v>
      </c>
      <c r="Y27" s="81">
        <f>SUM(Y25:Y26)</f>
        <v>119.4</v>
      </c>
      <c r="Z27" s="429">
        <f t="shared" ref="Z27" si="12">SUM(Z25:Z26)</f>
        <v>99.000000000000014</v>
      </c>
      <c r="AA27" s="92">
        <v>14</v>
      </c>
      <c r="AF27" s="93"/>
      <c r="AG27" s="100"/>
      <c r="AH27" s="34"/>
      <c r="AI27" s="34"/>
      <c r="AJ27" s="87"/>
    </row>
    <row r="28" spans="1:38" s="11" customFormat="1" ht="12" x14ac:dyDescent="0.2">
      <c r="A28" s="12" t="s">
        <v>144</v>
      </c>
      <c r="B28" s="51">
        <f>AVERAGE(U22:V22,B22)</f>
        <v>150</v>
      </c>
      <c r="C28" s="51">
        <f>AVERAGE(V22,B22:C22)</f>
        <v>127.5</v>
      </c>
      <c r="D28" s="51">
        <f t="shared" ref="D28:S28" si="13">AVERAGE(B22:D22)</f>
        <v>112.5</v>
      </c>
      <c r="E28" s="51">
        <f t="shared" si="13"/>
        <v>112.5</v>
      </c>
      <c r="F28" s="51">
        <f t="shared" si="13"/>
        <v>116.25</v>
      </c>
      <c r="G28" s="51">
        <f t="shared" si="13"/>
        <v>120.00000000000001</v>
      </c>
      <c r="H28" s="51">
        <f t="shared" si="13"/>
        <v>127.50000000000001</v>
      </c>
      <c r="I28" s="51">
        <f t="shared" si="13"/>
        <v>135</v>
      </c>
      <c r="J28" s="51">
        <f t="shared" si="13"/>
        <v>142.5</v>
      </c>
      <c r="K28" s="51">
        <f t="shared" si="13"/>
        <v>150.00000000000003</v>
      </c>
      <c r="L28" s="51">
        <f t="shared" si="13"/>
        <v>153.75</v>
      </c>
      <c r="M28" s="51">
        <f t="shared" si="13"/>
        <v>157.5</v>
      </c>
      <c r="N28" s="51">
        <f t="shared" si="13"/>
        <v>157.5</v>
      </c>
      <c r="O28" s="51">
        <f t="shared" si="13"/>
        <v>157.5</v>
      </c>
      <c r="P28" s="51">
        <f t="shared" si="13"/>
        <v>157.5</v>
      </c>
      <c r="Q28" s="51">
        <f>AVERAGE(Q22:Q22)</f>
        <v>180.00000000000003</v>
      </c>
      <c r="R28" s="51">
        <f>AVERAGE(Q22:R22)</f>
        <v>180.00000000000003</v>
      </c>
      <c r="S28" s="51">
        <f t="shared" si="13"/>
        <v>180.00000000000003</v>
      </c>
      <c r="T28" s="51">
        <f>AVERAGE(R22:T22)</f>
        <v>180.00000000000003</v>
      </c>
      <c r="U28" s="51">
        <f>AVERAGE(S22:U22)</f>
        <v>180.00000000000003</v>
      </c>
      <c r="V28" s="51">
        <f>AVERAGE(T22:V22)</f>
        <v>172.5</v>
      </c>
      <c r="W28" s="51">
        <f>AVERAGE(W22:W22)</f>
        <v>90.000000000000014</v>
      </c>
      <c r="X28" s="51">
        <f>AVERAGE(O22:X22)</f>
        <v>162</v>
      </c>
      <c r="Y28" s="324">
        <f>AVERAGE(P22:Y22)</f>
        <v>162</v>
      </c>
      <c r="Z28" s="429" t="s">
        <v>200</v>
      </c>
      <c r="AA28" s="90">
        <v>15</v>
      </c>
      <c r="AF28" s="93"/>
      <c r="AG28" s="630" t="s">
        <v>145</v>
      </c>
      <c r="AH28" s="631"/>
      <c r="AI28" s="435" t="s">
        <v>146</v>
      </c>
      <c r="AJ28" s="87"/>
    </row>
    <row r="29" spans="1:38" s="11" customFormat="1" ht="12" x14ac:dyDescent="0.2">
      <c r="A29" s="151" t="s">
        <v>147</v>
      </c>
      <c r="B29" s="430"/>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429"/>
      <c r="AA29" s="92">
        <v>16</v>
      </c>
      <c r="AF29" s="107" t="s">
        <v>148</v>
      </c>
      <c r="AG29" s="436" t="s">
        <v>149</v>
      </c>
      <c r="AH29" s="437">
        <f>HLOOKUP($AH$20,$B$14:$AA$67,AA50,FALSE)</f>
        <v>0</v>
      </c>
      <c r="AI29" s="437"/>
      <c r="AJ29" s="87"/>
    </row>
    <row r="30" spans="1:38" s="11" customFormat="1" ht="12" x14ac:dyDescent="0.2">
      <c r="A30" s="12" t="s">
        <v>150</v>
      </c>
      <c r="B30" s="13">
        <f t="shared" ref="B30:P30" si="14">IF(ISBLANK(B119),0,$B$11)</f>
        <v>1.8</v>
      </c>
      <c r="C30" s="13">
        <f t="shared" si="14"/>
        <v>1.8</v>
      </c>
      <c r="D30" s="13">
        <f t="shared" si="14"/>
        <v>1.8</v>
      </c>
      <c r="E30" s="13">
        <f t="shared" si="14"/>
        <v>1.8</v>
      </c>
      <c r="F30" s="13">
        <f t="shared" si="14"/>
        <v>1.8</v>
      </c>
      <c r="G30" s="13">
        <f t="shared" si="14"/>
        <v>1.8</v>
      </c>
      <c r="H30" s="13">
        <f t="shared" si="14"/>
        <v>1.8</v>
      </c>
      <c r="I30" s="13">
        <f t="shared" si="14"/>
        <v>1.8</v>
      </c>
      <c r="J30" s="13">
        <f t="shared" si="14"/>
        <v>1.8</v>
      </c>
      <c r="K30" s="13">
        <f t="shared" si="14"/>
        <v>1.8</v>
      </c>
      <c r="L30" s="13">
        <f t="shared" si="14"/>
        <v>1.8</v>
      </c>
      <c r="M30" s="13">
        <f t="shared" si="14"/>
        <v>1.8</v>
      </c>
      <c r="N30" s="13">
        <f t="shared" si="14"/>
        <v>1.8</v>
      </c>
      <c r="O30" s="13">
        <f t="shared" si="14"/>
        <v>1.8</v>
      </c>
      <c r="P30" s="13">
        <f t="shared" si="14"/>
        <v>1.8</v>
      </c>
      <c r="Q30" s="13">
        <f t="shared" ref="Q30:V30" si="15">IF(ISBLANK(T119),0,$B$11)</f>
        <v>0</v>
      </c>
      <c r="R30" s="13">
        <f t="shared" si="15"/>
        <v>0</v>
      </c>
      <c r="S30" s="13">
        <f t="shared" si="15"/>
        <v>0</v>
      </c>
      <c r="T30" s="13">
        <f t="shared" si="15"/>
        <v>0</v>
      </c>
      <c r="U30" s="13">
        <f t="shared" si="15"/>
        <v>0</v>
      </c>
      <c r="V30" s="81">
        <f t="shared" si="15"/>
        <v>0</v>
      </c>
      <c r="W30" s="13">
        <f>IF(ISBLANK(S119),0,$B$11)</f>
        <v>0</v>
      </c>
      <c r="X30" s="13">
        <f>IF(ISBLANK(Q119),0,$B$11)</f>
        <v>1.8</v>
      </c>
      <c r="Y30" s="81">
        <f>IF(ISBLANK(R119),0,$B$11)</f>
        <v>1.8</v>
      </c>
      <c r="Z30" s="429">
        <f>IF(ISBLANK(Z119),0,$B$11)</f>
        <v>1.8</v>
      </c>
      <c r="AA30" s="90">
        <v>17</v>
      </c>
      <c r="AF30" s="43"/>
      <c r="AG30" s="438">
        <v>4</v>
      </c>
      <c r="AH30" s="432">
        <f>IF(AH29-$AG30&lt;0,0,AH29-$AG30)</f>
        <v>0</v>
      </c>
      <c r="AI30" s="432">
        <f>IF(ISERROR(MAX(0,AH22-$AG30/AH23)),0,MAX(0,AH22-$AG30/AH23))</f>
        <v>0</v>
      </c>
      <c r="AJ30" s="87"/>
    </row>
    <row r="31" spans="1:38"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14"/>
      <c r="Z31" s="555"/>
      <c r="AA31" s="92">
        <v>18</v>
      </c>
      <c r="AF31" s="107" t="s">
        <v>152</v>
      </c>
      <c r="AG31" s="436" t="s">
        <v>149</v>
      </c>
      <c r="AH31" s="437">
        <f>HLOOKUP($AH$20,$B$14:$AA$67,AA52,FALSE)</f>
        <v>6</v>
      </c>
      <c r="AI31" s="437"/>
      <c r="AJ31" s="87"/>
    </row>
    <row r="32" spans="1:38" thickBot="1" x14ac:dyDescent="0.25">
      <c r="A32" s="412" t="s">
        <v>153</v>
      </c>
      <c r="B32" s="425">
        <v>0.7</v>
      </c>
      <c r="C32" s="425">
        <v>0.7</v>
      </c>
      <c r="D32" s="425">
        <v>0.7</v>
      </c>
      <c r="E32" s="425">
        <v>0.7</v>
      </c>
      <c r="F32" s="425">
        <v>0.8</v>
      </c>
      <c r="G32" s="425">
        <v>0.8</v>
      </c>
      <c r="H32" s="425">
        <v>0.8</v>
      </c>
      <c r="I32" s="425">
        <v>0.8</v>
      </c>
      <c r="J32" s="425">
        <v>0.8</v>
      </c>
      <c r="K32" s="425">
        <v>0.9</v>
      </c>
      <c r="L32" s="425">
        <v>0.9</v>
      </c>
      <c r="M32" s="425">
        <v>0.9</v>
      </c>
      <c r="N32" s="425">
        <v>1</v>
      </c>
      <c r="O32" s="425">
        <v>1</v>
      </c>
      <c r="P32" s="425">
        <v>1</v>
      </c>
      <c r="Q32" s="425">
        <v>1</v>
      </c>
      <c r="R32" s="425">
        <v>1</v>
      </c>
      <c r="S32" s="425">
        <v>1</v>
      </c>
      <c r="T32" s="425">
        <v>1</v>
      </c>
      <c r="U32" s="425">
        <v>1</v>
      </c>
      <c r="V32" s="425">
        <v>1</v>
      </c>
      <c r="W32" s="425">
        <v>1</v>
      </c>
      <c r="X32" s="425">
        <v>1</v>
      </c>
      <c r="Y32" s="424">
        <v>1</v>
      </c>
      <c r="Z32" s="425">
        <v>0.7</v>
      </c>
      <c r="AA32" s="90">
        <v>19</v>
      </c>
      <c r="AF32" s="34"/>
      <c r="AG32" s="441">
        <v>3</v>
      </c>
      <c r="AH32" s="442">
        <f>IF(AH31-$AG32&lt;0,0,AH31-$AG32)</f>
        <v>3</v>
      </c>
      <c r="AI32" s="442">
        <f>IF(ISERROR(MAX(0,AH22-$AG32/AH23)),0,MAX(0,AH22-$AG32/AH23))</f>
        <v>0</v>
      </c>
      <c r="AJ32" s="87"/>
      <c r="AK32" s="11"/>
      <c r="AL32" s="11"/>
    </row>
    <row r="33" spans="1:38" s="11" customFormat="1" ht="12" x14ac:dyDescent="0.2">
      <c r="A33" s="412" t="s">
        <v>154</v>
      </c>
      <c r="B33" s="446">
        <f>0.8*B32</f>
        <v>0.55999999999999994</v>
      </c>
      <c r="C33" s="446">
        <f t="shared" ref="C33:Z33" si="16">0.8*C32</f>
        <v>0.55999999999999994</v>
      </c>
      <c r="D33" s="446">
        <f t="shared" si="16"/>
        <v>0.55999999999999994</v>
      </c>
      <c r="E33" s="446">
        <f t="shared" si="16"/>
        <v>0.55999999999999994</v>
      </c>
      <c r="F33" s="446">
        <f t="shared" si="16"/>
        <v>0.64000000000000012</v>
      </c>
      <c r="G33" s="446">
        <f t="shared" si="16"/>
        <v>0.64000000000000012</v>
      </c>
      <c r="H33" s="446">
        <f t="shared" si="16"/>
        <v>0.64000000000000012</v>
      </c>
      <c r="I33" s="446">
        <f t="shared" si="16"/>
        <v>0.64000000000000012</v>
      </c>
      <c r="J33" s="446">
        <f t="shared" si="16"/>
        <v>0.64000000000000012</v>
      </c>
      <c r="K33" s="446">
        <f t="shared" si="16"/>
        <v>0.72000000000000008</v>
      </c>
      <c r="L33" s="446">
        <f t="shared" si="16"/>
        <v>0.72000000000000008</v>
      </c>
      <c r="M33" s="446">
        <f t="shared" si="16"/>
        <v>0.72000000000000008</v>
      </c>
      <c r="N33" s="446">
        <f t="shared" si="16"/>
        <v>0.8</v>
      </c>
      <c r="O33" s="446">
        <f t="shared" si="16"/>
        <v>0.8</v>
      </c>
      <c r="P33" s="446">
        <f t="shared" si="16"/>
        <v>0.8</v>
      </c>
      <c r="Q33" s="446">
        <f t="shared" si="16"/>
        <v>0.8</v>
      </c>
      <c r="R33" s="446">
        <f t="shared" si="16"/>
        <v>0.8</v>
      </c>
      <c r="S33" s="446">
        <f t="shared" si="16"/>
        <v>0.8</v>
      </c>
      <c r="T33" s="446">
        <f t="shared" si="16"/>
        <v>0.8</v>
      </c>
      <c r="U33" s="446">
        <f t="shared" si="16"/>
        <v>0.8</v>
      </c>
      <c r="V33" s="446">
        <f t="shared" si="16"/>
        <v>0.8</v>
      </c>
      <c r="W33" s="446">
        <f t="shared" si="16"/>
        <v>0.8</v>
      </c>
      <c r="X33" s="446">
        <f t="shared" si="16"/>
        <v>0.8</v>
      </c>
      <c r="Y33" s="556">
        <f t="shared" si="16"/>
        <v>0.8</v>
      </c>
      <c r="Z33" s="446">
        <f t="shared" si="16"/>
        <v>0.55999999999999994</v>
      </c>
      <c r="AA33" s="92">
        <v>20</v>
      </c>
      <c r="AF33" s="34"/>
      <c r="AG33" s="108" t="s">
        <v>155</v>
      </c>
      <c r="AH33" s="108" t="s">
        <v>156</v>
      </c>
      <c r="AI33" s="108" t="s">
        <v>157</v>
      </c>
      <c r="AJ33" s="87"/>
      <c r="AK33" s="7"/>
      <c r="AL33" s="7"/>
    </row>
    <row r="34" spans="1:38" s="11" customFormat="1" ht="12" x14ac:dyDescent="0.2">
      <c r="A34" s="445" t="s">
        <v>158</v>
      </c>
      <c r="B34" s="446">
        <f>((B36*$B$171)/$B$2)</f>
        <v>0.50135321109236997</v>
      </c>
      <c r="C34" s="446">
        <f t="shared" ref="C34:Z34" si="17">((C36*$B$171)/$B$2)</f>
        <v>0.50135321109236997</v>
      </c>
      <c r="D34" s="446">
        <f t="shared" si="17"/>
        <v>0.50135321109236997</v>
      </c>
      <c r="E34" s="446">
        <f t="shared" si="17"/>
        <v>0.50135321109236997</v>
      </c>
      <c r="F34" s="446">
        <f t="shared" si="17"/>
        <v>0.57297509839127991</v>
      </c>
      <c r="G34" s="446">
        <f t="shared" si="17"/>
        <v>0.57297509839127991</v>
      </c>
      <c r="H34" s="446">
        <f t="shared" si="17"/>
        <v>0.57297509839127991</v>
      </c>
      <c r="I34" s="446">
        <f t="shared" si="17"/>
        <v>0.57297509839127991</v>
      </c>
      <c r="J34" s="446">
        <f t="shared" si="17"/>
        <v>0.57297509839127991</v>
      </c>
      <c r="K34" s="446">
        <f t="shared" si="17"/>
        <v>0.64459698569018986</v>
      </c>
      <c r="L34" s="446">
        <f t="shared" si="17"/>
        <v>0.64459698569018986</v>
      </c>
      <c r="M34" s="446">
        <f t="shared" si="17"/>
        <v>0.64459698569018986</v>
      </c>
      <c r="N34" s="446">
        <f t="shared" si="17"/>
        <v>0.71621887298909992</v>
      </c>
      <c r="O34" s="446">
        <f t="shared" si="17"/>
        <v>0.71621887298909992</v>
      </c>
      <c r="P34" s="446">
        <f t="shared" si="17"/>
        <v>0.71621887298909992</v>
      </c>
      <c r="Q34" s="446">
        <f t="shared" si="17"/>
        <v>0.71621887298909992</v>
      </c>
      <c r="R34" s="446">
        <f t="shared" si="17"/>
        <v>0.71621887298909992</v>
      </c>
      <c r="S34" s="446">
        <f t="shared" si="17"/>
        <v>0.71621887298909992</v>
      </c>
      <c r="T34" s="446">
        <f t="shared" si="17"/>
        <v>0.71621887298909992</v>
      </c>
      <c r="U34" s="446">
        <f t="shared" si="17"/>
        <v>0.71621887298909992</v>
      </c>
      <c r="V34" s="446">
        <f t="shared" si="17"/>
        <v>0.71621887298909992</v>
      </c>
      <c r="W34" s="446">
        <f t="shared" si="17"/>
        <v>0.71621887298909992</v>
      </c>
      <c r="X34" s="446">
        <f t="shared" si="17"/>
        <v>0.71621887298909992</v>
      </c>
      <c r="Y34" s="446">
        <f t="shared" si="17"/>
        <v>0.71621887298909992</v>
      </c>
      <c r="Z34" s="446">
        <f t="shared" si="17"/>
        <v>0.50135321109236997</v>
      </c>
      <c r="AA34" s="92"/>
      <c r="AF34" s="43" t="s">
        <v>159</v>
      </c>
      <c r="AG34" s="447">
        <f>SUM(AG30,AG32)</f>
        <v>7</v>
      </c>
      <c r="AH34" s="447">
        <f>SUM(AH29,AH31)</f>
        <v>6</v>
      </c>
      <c r="AI34" s="447">
        <f>MAX(AI29:AI32)</f>
        <v>0</v>
      </c>
      <c r="AJ34" s="87"/>
    </row>
    <row r="35" spans="1:38" s="11" customFormat="1" ht="12" x14ac:dyDescent="0.2">
      <c r="A35" s="465" t="s">
        <v>160</v>
      </c>
      <c r="B35" s="461">
        <f t="shared" ref="B35:Z35" si="18">ROUND($B$2*B$32,2)</f>
        <v>3.5</v>
      </c>
      <c r="C35" s="461">
        <f t="shared" si="18"/>
        <v>3.5</v>
      </c>
      <c r="D35" s="461">
        <f t="shared" si="18"/>
        <v>3.5</v>
      </c>
      <c r="E35" s="461">
        <f t="shared" si="18"/>
        <v>3.5</v>
      </c>
      <c r="F35" s="461">
        <f t="shared" si="18"/>
        <v>4</v>
      </c>
      <c r="G35" s="461">
        <f t="shared" si="18"/>
        <v>4</v>
      </c>
      <c r="H35" s="461">
        <f t="shared" si="18"/>
        <v>4</v>
      </c>
      <c r="I35" s="461">
        <f t="shared" si="18"/>
        <v>4</v>
      </c>
      <c r="J35" s="461">
        <f t="shared" si="18"/>
        <v>4</v>
      </c>
      <c r="K35" s="461">
        <f t="shared" si="18"/>
        <v>4.5</v>
      </c>
      <c r="L35" s="461">
        <f t="shared" si="18"/>
        <v>4.5</v>
      </c>
      <c r="M35" s="461">
        <f t="shared" si="18"/>
        <v>4.5</v>
      </c>
      <c r="N35" s="461">
        <f t="shared" si="18"/>
        <v>5</v>
      </c>
      <c r="O35" s="461">
        <f t="shared" si="18"/>
        <v>5</v>
      </c>
      <c r="P35" s="461">
        <f t="shared" si="18"/>
        <v>5</v>
      </c>
      <c r="Q35" s="461">
        <f t="shared" si="18"/>
        <v>5</v>
      </c>
      <c r="R35" s="461">
        <f t="shared" si="18"/>
        <v>5</v>
      </c>
      <c r="S35" s="461">
        <f t="shared" si="18"/>
        <v>5</v>
      </c>
      <c r="T35" s="461">
        <f t="shared" si="18"/>
        <v>5</v>
      </c>
      <c r="U35" s="461">
        <f t="shared" si="18"/>
        <v>5</v>
      </c>
      <c r="V35" s="461">
        <f t="shared" si="18"/>
        <v>5</v>
      </c>
      <c r="W35" s="461">
        <f t="shared" si="18"/>
        <v>5</v>
      </c>
      <c r="X35" s="461">
        <f t="shared" si="18"/>
        <v>5</v>
      </c>
      <c r="Y35" s="460">
        <f t="shared" si="18"/>
        <v>5</v>
      </c>
      <c r="Z35" s="461">
        <f t="shared" si="18"/>
        <v>3.5</v>
      </c>
      <c r="AA35" s="90">
        <v>21</v>
      </c>
      <c r="AF35" s="43"/>
      <c r="AG35" s="34"/>
      <c r="AH35" s="34"/>
      <c r="AI35" s="34"/>
    </row>
    <row r="36" spans="1:38" s="11" customFormat="1" ht="12" x14ac:dyDescent="0.2">
      <c r="A36" s="465" t="s">
        <v>134</v>
      </c>
      <c r="B36" s="540">
        <f t="shared" ref="B36:Z36" si="19">ROUND($B$2*B$33,2)</f>
        <v>2.8</v>
      </c>
      <c r="C36" s="540">
        <f t="shared" si="19"/>
        <v>2.8</v>
      </c>
      <c r="D36" s="540">
        <f t="shared" si="19"/>
        <v>2.8</v>
      </c>
      <c r="E36" s="540">
        <f t="shared" si="19"/>
        <v>2.8</v>
      </c>
      <c r="F36" s="540">
        <f t="shared" si="19"/>
        <v>3.2</v>
      </c>
      <c r="G36" s="540">
        <f t="shared" si="19"/>
        <v>3.2</v>
      </c>
      <c r="H36" s="540">
        <f t="shared" si="19"/>
        <v>3.2</v>
      </c>
      <c r="I36" s="540">
        <f t="shared" si="19"/>
        <v>3.2</v>
      </c>
      <c r="J36" s="540">
        <f t="shared" si="19"/>
        <v>3.2</v>
      </c>
      <c r="K36" s="540">
        <f t="shared" si="19"/>
        <v>3.6</v>
      </c>
      <c r="L36" s="540">
        <f t="shared" si="19"/>
        <v>3.6</v>
      </c>
      <c r="M36" s="540">
        <f t="shared" si="19"/>
        <v>3.6</v>
      </c>
      <c r="N36" s="540">
        <f t="shared" si="19"/>
        <v>4</v>
      </c>
      <c r="O36" s="540">
        <f t="shared" si="19"/>
        <v>4</v>
      </c>
      <c r="P36" s="540">
        <f t="shared" si="19"/>
        <v>4</v>
      </c>
      <c r="Q36" s="540">
        <f t="shared" si="19"/>
        <v>4</v>
      </c>
      <c r="R36" s="540">
        <f t="shared" si="19"/>
        <v>4</v>
      </c>
      <c r="S36" s="540">
        <f t="shared" si="19"/>
        <v>4</v>
      </c>
      <c r="T36" s="540">
        <f t="shared" si="19"/>
        <v>4</v>
      </c>
      <c r="U36" s="540">
        <f t="shared" si="19"/>
        <v>4</v>
      </c>
      <c r="V36" s="540">
        <f t="shared" si="19"/>
        <v>4</v>
      </c>
      <c r="W36" s="540">
        <f t="shared" si="19"/>
        <v>4</v>
      </c>
      <c r="X36" s="540">
        <f t="shared" si="19"/>
        <v>4</v>
      </c>
      <c r="Y36" s="345">
        <f t="shared" si="19"/>
        <v>4</v>
      </c>
      <c r="Z36" s="461">
        <f t="shared" si="19"/>
        <v>2.8</v>
      </c>
      <c r="AA36" s="92">
        <v>22</v>
      </c>
      <c r="AG36" s="106" t="s">
        <v>270</v>
      </c>
      <c r="AH36" s="34"/>
      <c r="AI36" s="34"/>
    </row>
    <row r="37" spans="1:38" s="11" customFormat="1" ht="12" x14ac:dyDescent="0.2">
      <c r="A37" s="529" t="s">
        <v>162</v>
      </c>
      <c r="B37" s="451">
        <f>B34*$B$2</f>
        <v>2.5067660554618501</v>
      </c>
      <c r="C37" s="451">
        <f t="shared" ref="C37:Z37" si="20">C34*$B$2</f>
        <v>2.5067660554618501</v>
      </c>
      <c r="D37" s="451">
        <f t="shared" si="20"/>
        <v>2.5067660554618501</v>
      </c>
      <c r="E37" s="451">
        <f t="shared" si="20"/>
        <v>2.5067660554618501</v>
      </c>
      <c r="F37" s="451">
        <f t="shared" si="20"/>
        <v>2.8648754919563997</v>
      </c>
      <c r="G37" s="451">
        <f t="shared" si="20"/>
        <v>2.8648754919563997</v>
      </c>
      <c r="H37" s="451">
        <f t="shared" si="20"/>
        <v>2.8648754919563997</v>
      </c>
      <c r="I37" s="451">
        <f t="shared" si="20"/>
        <v>2.8648754919563997</v>
      </c>
      <c r="J37" s="451">
        <f t="shared" si="20"/>
        <v>2.8648754919563997</v>
      </c>
      <c r="K37" s="451">
        <f t="shared" si="20"/>
        <v>3.2229849284509493</v>
      </c>
      <c r="L37" s="451">
        <f t="shared" si="20"/>
        <v>3.2229849284509493</v>
      </c>
      <c r="M37" s="451">
        <f t="shared" si="20"/>
        <v>3.2229849284509493</v>
      </c>
      <c r="N37" s="451">
        <f t="shared" si="20"/>
        <v>3.5810943649454998</v>
      </c>
      <c r="O37" s="451">
        <f t="shared" si="20"/>
        <v>3.5810943649454998</v>
      </c>
      <c r="P37" s="451">
        <f t="shared" si="20"/>
        <v>3.5810943649454998</v>
      </c>
      <c r="Q37" s="451">
        <f t="shared" si="20"/>
        <v>3.5810943649454998</v>
      </c>
      <c r="R37" s="451">
        <f t="shared" si="20"/>
        <v>3.5810943649454998</v>
      </c>
      <c r="S37" s="451">
        <f t="shared" si="20"/>
        <v>3.5810943649454998</v>
      </c>
      <c r="T37" s="451">
        <f t="shared" si="20"/>
        <v>3.5810943649454998</v>
      </c>
      <c r="U37" s="451">
        <f t="shared" si="20"/>
        <v>3.5810943649454998</v>
      </c>
      <c r="V37" s="451">
        <f t="shared" si="20"/>
        <v>3.5810943649454998</v>
      </c>
      <c r="W37" s="451">
        <f t="shared" si="20"/>
        <v>3.5810943649454998</v>
      </c>
      <c r="X37" s="451">
        <f t="shared" si="20"/>
        <v>3.5810943649454998</v>
      </c>
      <c r="Y37" s="451">
        <f t="shared" si="20"/>
        <v>3.5810943649454998</v>
      </c>
      <c r="Z37" s="451">
        <f t="shared" si="20"/>
        <v>2.5067660554618501</v>
      </c>
      <c r="AA37" s="92"/>
      <c r="AG37" s="34"/>
      <c r="AH37" s="34"/>
      <c r="AI37" s="34"/>
      <c r="AJ37" s="87"/>
    </row>
    <row r="38" spans="1:38" s="11" customFormat="1" ht="12" x14ac:dyDescent="0.2">
      <c r="A38" s="452"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456"/>
      <c r="AA38" s="90">
        <v>23</v>
      </c>
      <c r="AF38" s="34"/>
      <c r="AG38" s="630" t="s">
        <v>164</v>
      </c>
      <c r="AH38" s="631"/>
      <c r="AI38" s="435" t="s">
        <v>146</v>
      </c>
      <c r="AJ38" s="87"/>
    </row>
    <row r="39" spans="1:38" ht="12" x14ac:dyDescent="0.2">
      <c r="A39" s="455" t="s">
        <v>165</v>
      </c>
      <c r="B39" s="456">
        <f t="shared" ref="B39:Z39" si="21">IF($B172&gt;=0.9, B$36,B$36*$B172)</f>
        <v>0.42150062571413022</v>
      </c>
      <c r="C39" s="456">
        <f t="shared" si="21"/>
        <v>0.42150062571413022</v>
      </c>
      <c r="D39" s="456">
        <f t="shared" si="21"/>
        <v>0.42150062571413022</v>
      </c>
      <c r="E39" s="456">
        <f t="shared" si="21"/>
        <v>0.42150062571413022</v>
      </c>
      <c r="F39" s="456">
        <f t="shared" si="21"/>
        <v>0.48171500081614882</v>
      </c>
      <c r="G39" s="456">
        <f t="shared" si="21"/>
        <v>0.48171500081614882</v>
      </c>
      <c r="H39" s="456">
        <f t="shared" si="21"/>
        <v>0.48171500081614882</v>
      </c>
      <c r="I39" s="456">
        <f t="shared" si="21"/>
        <v>0.48171500081614882</v>
      </c>
      <c r="J39" s="456">
        <f t="shared" si="21"/>
        <v>0.48171500081614882</v>
      </c>
      <c r="K39" s="456">
        <f t="shared" si="21"/>
        <v>0.54192937591816748</v>
      </c>
      <c r="L39" s="456">
        <f t="shared" si="21"/>
        <v>0.54192937591816748</v>
      </c>
      <c r="M39" s="456">
        <f t="shared" si="21"/>
        <v>0.54192937591816748</v>
      </c>
      <c r="N39" s="456">
        <f t="shared" si="21"/>
        <v>0.60214375102018602</v>
      </c>
      <c r="O39" s="456">
        <f t="shared" si="21"/>
        <v>0.60214375102018602</v>
      </c>
      <c r="P39" s="456">
        <f t="shared" si="21"/>
        <v>0.60214375102018602</v>
      </c>
      <c r="Q39" s="456">
        <f t="shared" si="21"/>
        <v>0.60214375102018602</v>
      </c>
      <c r="R39" s="456">
        <f t="shared" si="21"/>
        <v>0.60214375102018602</v>
      </c>
      <c r="S39" s="456">
        <f t="shared" si="21"/>
        <v>0.60214375102018602</v>
      </c>
      <c r="T39" s="456">
        <f t="shared" si="21"/>
        <v>0.60214375102018602</v>
      </c>
      <c r="U39" s="456">
        <f t="shared" si="21"/>
        <v>0.60214375102018602</v>
      </c>
      <c r="V39" s="456">
        <f t="shared" si="21"/>
        <v>0.60214375102018602</v>
      </c>
      <c r="W39" s="456">
        <f t="shared" si="21"/>
        <v>0.60214375102018602</v>
      </c>
      <c r="X39" s="456">
        <f t="shared" si="21"/>
        <v>0.60214375102018602</v>
      </c>
      <c r="Y39" s="453">
        <f t="shared" si="21"/>
        <v>0.60214375102018602</v>
      </c>
      <c r="Z39" s="456">
        <f t="shared" si="21"/>
        <v>0.42150062571413022</v>
      </c>
      <c r="AA39" s="92">
        <v>24</v>
      </c>
      <c r="AB39" s="11"/>
      <c r="AC39" s="11"/>
      <c r="AD39" s="11"/>
      <c r="AE39" s="11"/>
      <c r="AF39" s="34"/>
      <c r="AG39" s="436" t="s">
        <v>166</v>
      </c>
      <c r="AH39" s="437">
        <f>HLOOKUP($AH$20,$B$14:$AA$67,AA55,FALSE)</f>
        <v>0</v>
      </c>
      <c r="AI39" s="437"/>
      <c r="AJ39" s="87"/>
      <c r="AK39" s="11"/>
      <c r="AL39" s="11"/>
    </row>
    <row r="40" spans="1:38" ht="12" x14ac:dyDescent="0.2">
      <c r="A40" s="455" t="s">
        <v>167</v>
      </c>
      <c r="B40" s="456">
        <f t="shared" ref="B40:Z40" si="22">IF($B173&gt;=0.9, B$36,B$36*$B173)</f>
        <v>2.3417987920996786</v>
      </c>
      <c r="C40" s="456">
        <f t="shared" si="22"/>
        <v>2.3417987920996786</v>
      </c>
      <c r="D40" s="456">
        <f t="shared" si="22"/>
        <v>2.3417987920996786</v>
      </c>
      <c r="E40" s="456">
        <f t="shared" si="22"/>
        <v>2.3417987920996786</v>
      </c>
      <c r="F40" s="456">
        <f t="shared" si="22"/>
        <v>2.6763414766853475</v>
      </c>
      <c r="G40" s="456">
        <f t="shared" si="22"/>
        <v>2.6763414766853475</v>
      </c>
      <c r="H40" s="456">
        <f t="shared" si="22"/>
        <v>2.6763414766853475</v>
      </c>
      <c r="I40" s="456">
        <f t="shared" si="22"/>
        <v>2.6763414766853475</v>
      </c>
      <c r="J40" s="456">
        <f t="shared" si="22"/>
        <v>2.6763414766853475</v>
      </c>
      <c r="K40" s="456">
        <f t="shared" si="22"/>
        <v>3.0108841612710155</v>
      </c>
      <c r="L40" s="456">
        <f t="shared" si="22"/>
        <v>3.0108841612710155</v>
      </c>
      <c r="M40" s="456">
        <f t="shared" si="22"/>
        <v>3.0108841612710155</v>
      </c>
      <c r="N40" s="456">
        <f t="shared" si="22"/>
        <v>3.345426845856684</v>
      </c>
      <c r="O40" s="456">
        <f t="shared" si="22"/>
        <v>3.345426845856684</v>
      </c>
      <c r="P40" s="456">
        <f t="shared" si="22"/>
        <v>3.345426845856684</v>
      </c>
      <c r="Q40" s="456">
        <f t="shared" si="22"/>
        <v>3.345426845856684</v>
      </c>
      <c r="R40" s="456">
        <f t="shared" si="22"/>
        <v>3.345426845856684</v>
      </c>
      <c r="S40" s="456">
        <f t="shared" si="22"/>
        <v>3.345426845856684</v>
      </c>
      <c r="T40" s="456">
        <f t="shared" si="22"/>
        <v>3.345426845856684</v>
      </c>
      <c r="U40" s="456">
        <f t="shared" si="22"/>
        <v>3.345426845856684</v>
      </c>
      <c r="V40" s="456">
        <f t="shared" si="22"/>
        <v>3.345426845856684</v>
      </c>
      <c r="W40" s="456">
        <f t="shared" si="22"/>
        <v>3.345426845856684</v>
      </c>
      <c r="X40" s="456">
        <f t="shared" si="22"/>
        <v>3.345426845856684</v>
      </c>
      <c r="Y40" s="453">
        <f t="shared" si="22"/>
        <v>3.345426845856684</v>
      </c>
      <c r="Z40" s="456">
        <f t="shared" si="22"/>
        <v>2.3417987920996786</v>
      </c>
      <c r="AA40" s="90">
        <v>25</v>
      </c>
      <c r="AB40" s="11"/>
      <c r="AC40" s="11"/>
      <c r="AF40" s="34"/>
      <c r="AG40" s="438">
        <v>8</v>
      </c>
      <c r="AH40" s="432">
        <f>IF(AH39-$AG40&lt;0,0,AH39-$AG40)</f>
        <v>0</v>
      </c>
      <c r="AI40" s="432">
        <f>IF(ISERROR((AH40/$AH$52)*$AH$22),0,(AH40/$AH$52)*$AH$22)</f>
        <v>0</v>
      </c>
      <c r="AJ40" s="87"/>
    </row>
    <row r="41" spans="1:38" ht="12" x14ac:dyDescent="0.2">
      <c r="A41" s="455" t="s">
        <v>168</v>
      </c>
      <c r="B41" s="456">
        <f t="shared" ref="B41:Z41" si="23">IF($B174&gt;=0.9, B$36,B$36*$B174)</f>
        <v>2.3784993742858695</v>
      </c>
      <c r="C41" s="456">
        <f t="shared" si="23"/>
        <v>2.3784993742858695</v>
      </c>
      <c r="D41" s="456">
        <f t="shared" si="23"/>
        <v>2.3784993742858695</v>
      </c>
      <c r="E41" s="456">
        <f t="shared" si="23"/>
        <v>2.3784993742858695</v>
      </c>
      <c r="F41" s="456">
        <f t="shared" si="23"/>
        <v>2.7182849991838509</v>
      </c>
      <c r="G41" s="456">
        <f t="shared" si="23"/>
        <v>2.7182849991838509</v>
      </c>
      <c r="H41" s="456">
        <f t="shared" si="23"/>
        <v>2.7182849991838509</v>
      </c>
      <c r="I41" s="456">
        <f t="shared" si="23"/>
        <v>2.7182849991838509</v>
      </c>
      <c r="J41" s="456">
        <f t="shared" si="23"/>
        <v>2.7182849991838509</v>
      </c>
      <c r="K41" s="456">
        <f t="shared" si="23"/>
        <v>3.0580706240818323</v>
      </c>
      <c r="L41" s="456">
        <f t="shared" si="23"/>
        <v>3.0580706240818323</v>
      </c>
      <c r="M41" s="456">
        <f t="shared" si="23"/>
        <v>3.0580706240818323</v>
      </c>
      <c r="N41" s="456">
        <f t="shared" si="23"/>
        <v>3.3978562489798136</v>
      </c>
      <c r="O41" s="456">
        <f t="shared" si="23"/>
        <v>3.3978562489798136</v>
      </c>
      <c r="P41" s="456">
        <f t="shared" si="23"/>
        <v>3.3978562489798136</v>
      </c>
      <c r="Q41" s="456">
        <f t="shared" si="23"/>
        <v>3.3978562489798136</v>
      </c>
      <c r="R41" s="456">
        <f t="shared" si="23"/>
        <v>3.3978562489798136</v>
      </c>
      <c r="S41" s="456">
        <f t="shared" si="23"/>
        <v>3.3978562489798136</v>
      </c>
      <c r="T41" s="456">
        <f t="shared" si="23"/>
        <v>3.3978562489798136</v>
      </c>
      <c r="U41" s="456">
        <f t="shared" si="23"/>
        <v>3.3978562489798136</v>
      </c>
      <c r="V41" s="456">
        <f t="shared" si="23"/>
        <v>3.3978562489798136</v>
      </c>
      <c r="W41" s="456">
        <f t="shared" si="23"/>
        <v>3.3978562489798136</v>
      </c>
      <c r="X41" s="456">
        <f t="shared" si="23"/>
        <v>3.3978562489798136</v>
      </c>
      <c r="Y41" s="453">
        <f t="shared" si="23"/>
        <v>3.3978562489798136</v>
      </c>
      <c r="Z41" s="456">
        <f t="shared" si="23"/>
        <v>2.3784993742858695</v>
      </c>
      <c r="AA41" s="92">
        <v>26</v>
      </c>
      <c r="AF41" s="34"/>
      <c r="AG41" s="436" t="s">
        <v>169</v>
      </c>
      <c r="AH41" s="437">
        <f>HLOOKUP($AH$20,$B$14:$AA$67,AA57,FALSE)</f>
        <v>3</v>
      </c>
      <c r="AI41" s="437"/>
      <c r="AJ41" s="87"/>
    </row>
    <row r="42" spans="1:38" ht="12" x14ac:dyDescent="0.2">
      <c r="A42" s="421" t="s">
        <v>170</v>
      </c>
      <c r="B42" s="456">
        <f t="shared" ref="B42:Z42" si="24">IF($B175&gt;=0.9, B$36,B$36*$B175)</f>
        <v>2.3417987920996786</v>
      </c>
      <c r="C42" s="456">
        <f t="shared" si="24"/>
        <v>2.3417987920996786</v>
      </c>
      <c r="D42" s="456">
        <f t="shared" si="24"/>
        <v>2.3417987920996786</v>
      </c>
      <c r="E42" s="456">
        <f t="shared" si="24"/>
        <v>2.3417987920996786</v>
      </c>
      <c r="F42" s="456">
        <f t="shared" si="24"/>
        <v>2.6763414766853475</v>
      </c>
      <c r="G42" s="456">
        <f t="shared" si="24"/>
        <v>2.6763414766853475</v>
      </c>
      <c r="H42" s="456">
        <f t="shared" si="24"/>
        <v>2.6763414766853475</v>
      </c>
      <c r="I42" s="456">
        <f t="shared" si="24"/>
        <v>2.6763414766853475</v>
      </c>
      <c r="J42" s="456">
        <f t="shared" si="24"/>
        <v>2.6763414766853475</v>
      </c>
      <c r="K42" s="456">
        <f t="shared" si="24"/>
        <v>3.0108841612710155</v>
      </c>
      <c r="L42" s="456">
        <f t="shared" si="24"/>
        <v>3.0108841612710155</v>
      </c>
      <c r="M42" s="456">
        <f t="shared" si="24"/>
        <v>3.0108841612710155</v>
      </c>
      <c r="N42" s="456">
        <f t="shared" si="24"/>
        <v>3.345426845856684</v>
      </c>
      <c r="O42" s="456">
        <f t="shared" si="24"/>
        <v>3.345426845856684</v>
      </c>
      <c r="P42" s="456">
        <f t="shared" si="24"/>
        <v>3.345426845856684</v>
      </c>
      <c r="Q42" s="456">
        <f t="shared" si="24"/>
        <v>3.345426845856684</v>
      </c>
      <c r="R42" s="456">
        <f t="shared" si="24"/>
        <v>3.345426845856684</v>
      </c>
      <c r="S42" s="456">
        <f t="shared" si="24"/>
        <v>3.345426845856684</v>
      </c>
      <c r="T42" s="456">
        <f t="shared" si="24"/>
        <v>3.345426845856684</v>
      </c>
      <c r="U42" s="456">
        <f t="shared" si="24"/>
        <v>3.345426845856684</v>
      </c>
      <c r="V42" s="456">
        <f t="shared" si="24"/>
        <v>3.345426845856684</v>
      </c>
      <c r="W42" s="456">
        <f t="shared" si="24"/>
        <v>3.345426845856684</v>
      </c>
      <c r="X42" s="456">
        <f t="shared" si="24"/>
        <v>3.345426845856684</v>
      </c>
      <c r="Y42" s="453">
        <f t="shared" si="24"/>
        <v>3.345426845856684</v>
      </c>
      <c r="Z42" s="456">
        <f t="shared" si="24"/>
        <v>2.3417987920996786</v>
      </c>
      <c r="AA42" s="90">
        <v>27</v>
      </c>
      <c r="AF42" s="109"/>
      <c r="AG42" s="438">
        <v>6</v>
      </c>
      <c r="AH42" s="432">
        <f>IF(AH41-$AG42&lt;0,0,AH41-$AG42)</f>
        <v>0</v>
      </c>
      <c r="AI42" s="432">
        <f>IF(ISERROR((AH42/$AH$52)*$AH$22),0,(AH42/$AH$52)*$AH$22)</f>
        <v>0</v>
      </c>
      <c r="AJ42" s="87"/>
    </row>
    <row r="43" spans="1:38" ht="12" x14ac:dyDescent="0.2">
      <c r="A43" s="455" t="s">
        <v>171</v>
      </c>
      <c r="B43" s="456">
        <f t="shared" ref="B43:Z43" si="25">IF($B176&gt;=0.9, B$36,B$36*$B176)</f>
        <v>2.3784993742858695</v>
      </c>
      <c r="C43" s="456">
        <f t="shared" si="25"/>
        <v>2.3784993742858695</v>
      </c>
      <c r="D43" s="456">
        <f t="shared" si="25"/>
        <v>2.3784993742858695</v>
      </c>
      <c r="E43" s="456">
        <f t="shared" si="25"/>
        <v>2.3784993742858695</v>
      </c>
      <c r="F43" s="456">
        <f t="shared" si="25"/>
        <v>2.7182849991838509</v>
      </c>
      <c r="G43" s="456">
        <f t="shared" si="25"/>
        <v>2.7182849991838509</v>
      </c>
      <c r="H43" s="456">
        <f t="shared" si="25"/>
        <v>2.7182849991838509</v>
      </c>
      <c r="I43" s="456">
        <f t="shared" si="25"/>
        <v>2.7182849991838509</v>
      </c>
      <c r="J43" s="456">
        <f t="shared" si="25"/>
        <v>2.7182849991838509</v>
      </c>
      <c r="K43" s="456">
        <f t="shared" si="25"/>
        <v>3.0580706240818323</v>
      </c>
      <c r="L43" s="456">
        <f t="shared" si="25"/>
        <v>3.0580706240818323</v>
      </c>
      <c r="M43" s="456">
        <f t="shared" si="25"/>
        <v>3.0580706240818323</v>
      </c>
      <c r="N43" s="456">
        <f t="shared" si="25"/>
        <v>3.3978562489798136</v>
      </c>
      <c r="O43" s="456">
        <f t="shared" si="25"/>
        <v>3.3978562489798136</v>
      </c>
      <c r="P43" s="456">
        <f t="shared" si="25"/>
        <v>3.3978562489798136</v>
      </c>
      <c r="Q43" s="456">
        <f t="shared" si="25"/>
        <v>3.3978562489798136</v>
      </c>
      <c r="R43" s="456">
        <f t="shared" si="25"/>
        <v>3.3978562489798136</v>
      </c>
      <c r="S43" s="456">
        <f t="shared" si="25"/>
        <v>3.3978562489798136</v>
      </c>
      <c r="T43" s="456">
        <f t="shared" si="25"/>
        <v>3.3978562489798136</v>
      </c>
      <c r="U43" s="456">
        <f t="shared" si="25"/>
        <v>3.3978562489798136</v>
      </c>
      <c r="V43" s="456">
        <f t="shared" si="25"/>
        <v>3.3978562489798136</v>
      </c>
      <c r="W43" s="456">
        <f t="shared" si="25"/>
        <v>3.3978562489798136</v>
      </c>
      <c r="X43" s="456">
        <f t="shared" si="25"/>
        <v>3.3978562489798136</v>
      </c>
      <c r="Y43" s="453">
        <f t="shared" si="25"/>
        <v>3.3978562489798136</v>
      </c>
      <c r="Z43" s="456">
        <f t="shared" si="25"/>
        <v>2.3784993742858695</v>
      </c>
      <c r="AA43" s="92">
        <v>28</v>
      </c>
      <c r="AF43" s="107"/>
      <c r="AG43" s="436" t="s">
        <v>172</v>
      </c>
      <c r="AH43" s="437">
        <f>HLOOKUP($AH$20,$B$14:$AA$67,AA59,FALSE)</f>
        <v>0</v>
      </c>
      <c r="AI43" s="437"/>
      <c r="AJ43" s="87"/>
    </row>
    <row r="44" spans="1:38" ht="12" x14ac:dyDescent="0.2">
      <c r="A44" s="455" t="s">
        <v>173</v>
      </c>
      <c r="B44" s="456">
        <f t="shared" ref="B44:Z44" si="26">IF(B$13="Deploy",B$36,IF($B177&gt;=0.9, B$36,B$36*$B177))</f>
        <v>0.42150062571413022</v>
      </c>
      <c r="C44" s="456">
        <f t="shared" si="26"/>
        <v>0.42150062571413022</v>
      </c>
      <c r="D44" s="456">
        <f t="shared" si="26"/>
        <v>0.42150062571413022</v>
      </c>
      <c r="E44" s="456">
        <f t="shared" si="26"/>
        <v>0.42150062571413022</v>
      </c>
      <c r="F44" s="456">
        <f t="shared" si="26"/>
        <v>0.48171500081614882</v>
      </c>
      <c r="G44" s="456">
        <f t="shared" si="26"/>
        <v>0.48171500081614882</v>
      </c>
      <c r="H44" s="456">
        <f t="shared" si="26"/>
        <v>0.48171500081614882</v>
      </c>
      <c r="I44" s="456">
        <f t="shared" si="26"/>
        <v>0.48171500081614882</v>
      </c>
      <c r="J44" s="456">
        <f t="shared" si="26"/>
        <v>0.48171500081614882</v>
      </c>
      <c r="K44" s="456">
        <f t="shared" si="26"/>
        <v>0.54192937591816748</v>
      </c>
      <c r="L44" s="456">
        <f t="shared" si="26"/>
        <v>0.54192937591816748</v>
      </c>
      <c r="M44" s="456">
        <f t="shared" si="26"/>
        <v>0.54192937591816748</v>
      </c>
      <c r="N44" s="456">
        <f t="shared" si="26"/>
        <v>0.60214375102018602</v>
      </c>
      <c r="O44" s="456">
        <f t="shared" si="26"/>
        <v>0.60214375102018602</v>
      </c>
      <c r="P44" s="456">
        <f t="shared" si="26"/>
        <v>0.60214375102018602</v>
      </c>
      <c r="Q44" s="456">
        <f t="shared" si="26"/>
        <v>4</v>
      </c>
      <c r="R44" s="456">
        <f t="shared" si="26"/>
        <v>4</v>
      </c>
      <c r="S44" s="456">
        <f t="shared" si="26"/>
        <v>4</v>
      </c>
      <c r="T44" s="456">
        <f t="shared" si="26"/>
        <v>4</v>
      </c>
      <c r="U44" s="456">
        <f t="shared" si="26"/>
        <v>4</v>
      </c>
      <c r="V44" s="456">
        <f t="shared" si="26"/>
        <v>4</v>
      </c>
      <c r="W44" s="456">
        <f t="shared" si="26"/>
        <v>0.60214375102018602</v>
      </c>
      <c r="X44" s="456">
        <f t="shared" si="26"/>
        <v>0.60214375102018602</v>
      </c>
      <c r="Y44" s="453">
        <f t="shared" si="26"/>
        <v>0.60214375102018602</v>
      </c>
      <c r="Z44" s="456">
        <f t="shared" si="26"/>
        <v>0.42150062571413022</v>
      </c>
      <c r="AA44" s="90">
        <v>29</v>
      </c>
      <c r="AF44" s="107"/>
      <c r="AG44" s="438">
        <v>6</v>
      </c>
      <c r="AH44" s="432">
        <f>IF(AH43-$AG44&lt;0,0,AH43-$AG44)</f>
        <v>0</v>
      </c>
      <c r="AI44" s="432">
        <f>IF(ISERROR((AH44/$AH$52)*$AH$22),0,(AH44/$AH$52)*$AH$22)</f>
        <v>0</v>
      </c>
      <c r="AJ44" s="87"/>
    </row>
    <row r="45" spans="1:38" ht="12" x14ac:dyDescent="0.2">
      <c r="A45" s="455" t="s">
        <v>174</v>
      </c>
      <c r="B45" s="456">
        <f t="shared" ref="B45:Z45" si="27">IF($B178&gt;=0.9, B$36,B$36*$B178)</f>
        <v>2.3784993742858695</v>
      </c>
      <c r="C45" s="456">
        <f t="shared" si="27"/>
        <v>2.3784993742858695</v>
      </c>
      <c r="D45" s="456">
        <f t="shared" si="27"/>
        <v>2.3784993742858695</v>
      </c>
      <c r="E45" s="456">
        <f t="shared" si="27"/>
        <v>2.3784993742858695</v>
      </c>
      <c r="F45" s="456">
        <f t="shared" si="27"/>
        <v>2.7182849991838509</v>
      </c>
      <c r="G45" s="456">
        <f t="shared" si="27"/>
        <v>2.7182849991838509</v>
      </c>
      <c r="H45" s="456">
        <f t="shared" si="27"/>
        <v>2.7182849991838509</v>
      </c>
      <c r="I45" s="456">
        <f t="shared" si="27"/>
        <v>2.7182849991838509</v>
      </c>
      <c r="J45" s="456">
        <f t="shared" si="27"/>
        <v>2.7182849991838509</v>
      </c>
      <c r="K45" s="456">
        <f t="shared" si="27"/>
        <v>3.0580706240818323</v>
      </c>
      <c r="L45" s="456">
        <f t="shared" si="27"/>
        <v>3.0580706240818323</v>
      </c>
      <c r="M45" s="456">
        <f t="shared" si="27"/>
        <v>3.0580706240818323</v>
      </c>
      <c r="N45" s="456">
        <f t="shared" si="27"/>
        <v>3.3978562489798136</v>
      </c>
      <c r="O45" s="456">
        <f t="shared" si="27"/>
        <v>3.3978562489798136</v>
      </c>
      <c r="P45" s="456">
        <f t="shared" si="27"/>
        <v>3.3978562489798136</v>
      </c>
      <c r="Q45" s="456">
        <f t="shared" si="27"/>
        <v>3.3978562489798136</v>
      </c>
      <c r="R45" s="456">
        <f t="shared" si="27"/>
        <v>3.3978562489798136</v>
      </c>
      <c r="S45" s="456">
        <f t="shared" si="27"/>
        <v>3.3978562489798136</v>
      </c>
      <c r="T45" s="456">
        <f t="shared" si="27"/>
        <v>3.3978562489798136</v>
      </c>
      <c r="U45" s="456">
        <f t="shared" si="27"/>
        <v>3.3978562489798136</v>
      </c>
      <c r="V45" s="456">
        <f t="shared" si="27"/>
        <v>3.3978562489798136</v>
      </c>
      <c r="W45" s="456">
        <f t="shared" si="27"/>
        <v>3.3978562489798136</v>
      </c>
      <c r="X45" s="456">
        <f t="shared" si="27"/>
        <v>3.3978562489798136</v>
      </c>
      <c r="Y45" s="453">
        <f t="shared" si="27"/>
        <v>3.3978562489798136</v>
      </c>
      <c r="Z45" s="456">
        <f t="shared" si="27"/>
        <v>2.3784993742858695</v>
      </c>
      <c r="AA45" s="92">
        <v>30</v>
      </c>
      <c r="AF45" s="107"/>
      <c r="AG45" s="436" t="s">
        <v>175</v>
      </c>
      <c r="AH45" s="437">
        <f>HLOOKUP($AH$20,$B$14:$AA$67,AA61,FALSE)</f>
        <v>0</v>
      </c>
      <c r="AI45" s="437"/>
      <c r="AJ45" s="87"/>
    </row>
    <row r="46" spans="1:38" ht="12" x14ac:dyDescent="0.2">
      <c r="A46" s="457" t="s">
        <v>176</v>
      </c>
      <c r="B46" s="456">
        <f t="shared" ref="B46:Z46" si="28">IF(B$13="Deploy",B$36,IF($B179&gt;=0.9, B$36,B$36*$B179))</f>
        <v>0.42150062571413022</v>
      </c>
      <c r="C46" s="456">
        <f t="shared" si="28"/>
        <v>0.42150062571413022</v>
      </c>
      <c r="D46" s="456">
        <f t="shared" si="28"/>
        <v>0.42150062571413022</v>
      </c>
      <c r="E46" s="456">
        <f t="shared" si="28"/>
        <v>0.42150062571413022</v>
      </c>
      <c r="F46" s="456">
        <f t="shared" si="28"/>
        <v>0.48171500081614882</v>
      </c>
      <c r="G46" s="456">
        <f t="shared" si="28"/>
        <v>0.48171500081614882</v>
      </c>
      <c r="H46" s="456">
        <f t="shared" si="28"/>
        <v>0.48171500081614882</v>
      </c>
      <c r="I46" s="456">
        <f t="shared" si="28"/>
        <v>0.48171500081614882</v>
      </c>
      <c r="J46" s="456">
        <f t="shared" si="28"/>
        <v>0.48171500081614882</v>
      </c>
      <c r="K46" s="456">
        <f t="shared" si="28"/>
        <v>0.54192937591816748</v>
      </c>
      <c r="L46" s="456">
        <f t="shared" si="28"/>
        <v>0.54192937591816748</v>
      </c>
      <c r="M46" s="456">
        <f t="shared" si="28"/>
        <v>0.54192937591816748</v>
      </c>
      <c r="N46" s="456">
        <f t="shared" si="28"/>
        <v>0.60214375102018602</v>
      </c>
      <c r="O46" s="456">
        <f t="shared" si="28"/>
        <v>0.60214375102018602</v>
      </c>
      <c r="P46" s="456">
        <f t="shared" si="28"/>
        <v>0.60214375102018602</v>
      </c>
      <c r="Q46" s="456">
        <f t="shared" si="28"/>
        <v>4</v>
      </c>
      <c r="R46" s="456">
        <f t="shared" si="28"/>
        <v>4</v>
      </c>
      <c r="S46" s="456">
        <f t="shared" si="28"/>
        <v>4</v>
      </c>
      <c r="T46" s="456">
        <f t="shared" si="28"/>
        <v>4</v>
      </c>
      <c r="U46" s="456">
        <f t="shared" si="28"/>
        <v>4</v>
      </c>
      <c r="V46" s="456">
        <f t="shared" si="28"/>
        <v>4</v>
      </c>
      <c r="W46" s="456">
        <f t="shared" si="28"/>
        <v>0.60214375102018602</v>
      </c>
      <c r="X46" s="456">
        <f t="shared" si="28"/>
        <v>0.60214375102018602</v>
      </c>
      <c r="Y46" s="453">
        <f t="shared" si="28"/>
        <v>0.60214375102018602</v>
      </c>
      <c r="Z46" s="456">
        <f t="shared" si="28"/>
        <v>0.42150062571413022</v>
      </c>
      <c r="AA46" s="90">
        <v>31</v>
      </c>
      <c r="AF46" s="107"/>
      <c r="AG46" s="438">
        <v>7</v>
      </c>
      <c r="AH46" s="432">
        <f>IF(AH45-$AG46&lt;0,0,AH45-$AG46)</f>
        <v>0</v>
      </c>
      <c r="AI46" s="432">
        <f>IF(ISERROR((AH46/$AH$52)*$AH$22),0,(AH46/$AH$52)*$AH$22)</f>
        <v>0</v>
      </c>
      <c r="AJ46" s="34"/>
    </row>
    <row r="47" spans="1:38" x14ac:dyDescent="0.2">
      <c r="A47" s="458" t="s">
        <v>177</v>
      </c>
      <c r="B47" s="456">
        <f t="shared" ref="B47:Z47" si="29">IF(B$13="Deploy",B$36,IF($B180&gt;=0.9, B$36,B$36*$B180))</f>
        <v>2.8</v>
      </c>
      <c r="C47" s="456">
        <f t="shared" si="29"/>
        <v>2.8</v>
      </c>
      <c r="D47" s="456">
        <f t="shared" si="29"/>
        <v>2.8</v>
      </c>
      <c r="E47" s="456">
        <f t="shared" si="29"/>
        <v>2.8</v>
      </c>
      <c r="F47" s="456">
        <f t="shared" si="29"/>
        <v>3.2</v>
      </c>
      <c r="G47" s="456">
        <f t="shared" si="29"/>
        <v>3.2</v>
      </c>
      <c r="H47" s="456">
        <f t="shared" si="29"/>
        <v>3.2</v>
      </c>
      <c r="I47" s="456">
        <f t="shared" si="29"/>
        <v>3.2</v>
      </c>
      <c r="J47" s="456">
        <f t="shared" si="29"/>
        <v>3.2</v>
      </c>
      <c r="K47" s="456">
        <f t="shared" si="29"/>
        <v>3.6</v>
      </c>
      <c r="L47" s="456">
        <f t="shared" si="29"/>
        <v>3.6</v>
      </c>
      <c r="M47" s="456">
        <f t="shared" si="29"/>
        <v>3.6</v>
      </c>
      <c r="N47" s="456">
        <f t="shared" si="29"/>
        <v>4</v>
      </c>
      <c r="O47" s="456">
        <f t="shared" si="29"/>
        <v>4</v>
      </c>
      <c r="P47" s="456">
        <f t="shared" si="29"/>
        <v>4</v>
      </c>
      <c r="Q47" s="456">
        <f t="shared" si="29"/>
        <v>4</v>
      </c>
      <c r="R47" s="456">
        <f t="shared" si="29"/>
        <v>4</v>
      </c>
      <c r="S47" s="456">
        <f t="shared" si="29"/>
        <v>4</v>
      </c>
      <c r="T47" s="456">
        <f t="shared" si="29"/>
        <v>4</v>
      </c>
      <c r="U47" s="456">
        <f t="shared" si="29"/>
        <v>4</v>
      </c>
      <c r="V47" s="456">
        <f t="shared" si="29"/>
        <v>4</v>
      </c>
      <c r="W47" s="456">
        <f t="shared" si="29"/>
        <v>4</v>
      </c>
      <c r="X47" s="456">
        <f t="shared" si="29"/>
        <v>4</v>
      </c>
      <c r="Y47" s="453">
        <f t="shared" si="29"/>
        <v>4</v>
      </c>
      <c r="Z47" s="456">
        <f t="shared" si="29"/>
        <v>2.8</v>
      </c>
      <c r="AA47" s="92">
        <v>32</v>
      </c>
      <c r="AF47" s="107"/>
      <c r="AG47" s="436" t="s">
        <v>178</v>
      </c>
      <c r="AH47" s="437">
        <f>HLOOKUP($AH$20,$B$14:$AA$67,AA63,FALSE)</f>
        <v>3</v>
      </c>
      <c r="AI47" s="437"/>
      <c r="AJ47" s="87"/>
    </row>
    <row r="48" spans="1:38" s="11" customFormat="1" ht="12" x14ac:dyDescent="0.2">
      <c r="A48" s="452" t="s">
        <v>179</v>
      </c>
      <c r="B48" s="460"/>
      <c r="C48" s="36"/>
      <c r="D48" s="36"/>
      <c r="E48" s="36"/>
      <c r="F48" s="36"/>
      <c r="G48" s="36"/>
      <c r="H48" s="36"/>
      <c r="I48" s="36"/>
      <c r="J48" s="36"/>
      <c r="K48" s="36"/>
      <c r="L48" s="36"/>
      <c r="M48" s="36"/>
      <c r="N48" s="36"/>
      <c r="O48" s="36"/>
      <c r="P48" s="36"/>
      <c r="Q48" s="36"/>
      <c r="R48" s="36"/>
      <c r="S48" s="36"/>
      <c r="T48" s="36"/>
      <c r="U48" s="36"/>
      <c r="V48" s="36"/>
      <c r="W48" s="36"/>
      <c r="X48" s="36"/>
      <c r="Y48" s="36"/>
      <c r="Z48" s="461"/>
      <c r="AA48" s="90">
        <v>33</v>
      </c>
      <c r="AB48" s="7"/>
      <c r="AC48" s="7"/>
      <c r="AD48" s="7"/>
      <c r="AE48" s="7"/>
      <c r="AF48" s="107"/>
      <c r="AG48" s="438">
        <v>4</v>
      </c>
      <c r="AH48" s="432">
        <f>IF(AH47-$AG48&lt;0,0,AH47-$AG48)</f>
        <v>0</v>
      </c>
      <c r="AI48" s="432">
        <f>IF(ISERROR((AH48/$AH$52)*$AH$22),0,(AH48/$AH$52)*$AH$22)</f>
        <v>0</v>
      </c>
      <c r="AJ48" s="87"/>
      <c r="AK48" s="7"/>
      <c r="AL48" s="7"/>
    </row>
    <row r="49" spans="1:36" s="11" customFormat="1" ht="12" x14ac:dyDescent="0.2">
      <c r="A49" s="471" t="s">
        <v>180</v>
      </c>
      <c r="B49" s="464">
        <f>ROUNDUP(B$35*2,0)</f>
        <v>7</v>
      </c>
      <c r="C49" s="464">
        <f t="shared" ref="C49:E49" si="30">ROUNDUP(C$35*2,0)</f>
        <v>7</v>
      </c>
      <c r="D49" s="464">
        <f t="shared" si="30"/>
        <v>7</v>
      </c>
      <c r="E49" s="464">
        <f t="shared" si="30"/>
        <v>7</v>
      </c>
      <c r="F49" s="464">
        <f>ROUNDUP(3*F$35,0)</f>
        <v>12</v>
      </c>
      <c r="G49" s="464">
        <f>ROUNDUP(3*G$35,0)</f>
        <v>12</v>
      </c>
      <c r="H49" s="464">
        <f>ROUNDUP(H$35*3,0)+3</f>
        <v>15</v>
      </c>
      <c r="I49" s="464">
        <f>ROUNDUP(I$35*3,0)+3</f>
        <v>15</v>
      </c>
      <c r="J49" s="464">
        <f>ROUNDUP(J$35*3,0)+3</f>
        <v>15</v>
      </c>
      <c r="K49" s="464">
        <f>ROUNDUP(K$35*3,0)+1</f>
        <v>15</v>
      </c>
      <c r="L49" s="464">
        <f>ROUNDUP(L$35*3,0)+1</f>
        <v>15</v>
      </c>
      <c r="M49" s="464">
        <f>ROUNDUP(M$35*3,0)+1</f>
        <v>15</v>
      </c>
      <c r="N49" s="464">
        <f>ROUNDUP(N$35*4,0)</f>
        <v>20</v>
      </c>
      <c r="O49" s="464">
        <f t="shared" ref="O49:Y49" si="31">ROUNDUP(O$35*4,0)</f>
        <v>20</v>
      </c>
      <c r="P49" s="464">
        <f t="shared" si="31"/>
        <v>20</v>
      </c>
      <c r="Q49" s="464">
        <f t="shared" si="31"/>
        <v>20</v>
      </c>
      <c r="R49" s="464">
        <f t="shared" si="31"/>
        <v>20</v>
      </c>
      <c r="S49" s="464">
        <f t="shared" si="31"/>
        <v>20</v>
      </c>
      <c r="T49" s="464">
        <f t="shared" si="31"/>
        <v>20</v>
      </c>
      <c r="U49" s="464">
        <f t="shared" si="31"/>
        <v>20</v>
      </c>
      <c r="V49" s="464">
        <f t="shared" si="31"/>
        <v>20</v>
      </c>
      <c r="W49" s="464">
        <f t="shared" si="31"/>
        <v>20</v>
      </c>
      <c r="X49" s="464">
        <f t="shared" si="31"/>
        <v>20</v>
      </c>
      <c r="Y49" s="557">
        <f t="shared" si="31"/>
        <v>20</v>
      </c>
      <c r="Z49" s="464">
        <v>7</v>
      </c>
      <c r="AA49" s="92">
        <v>34</v>
      </c>
      <c r="AB49" s="7"/>
      <c r="AC49" s="7"/>
      <c r="AF49" s="107"/>
      <c r="AG49" s="436" t="s">
        <v>181</v>
      </c>
      <c r="AH49" s="437">
        <f>HLOOKUP($AH$20,$B$14:$AA$67,AA65,FALSE)</f>
        <v>2</v>
      </c>
      <c r="AI49" s="437"/>
      <c r="AJ49" s="87"/>
    </row>
    <row r="50" spans="1:36" s="11" customFormat="1" thickBot="1" x14ac:dyDescent="0.25">
      <c r="A50" s="471" t="s">
        <v>148</v>
      </c>
      <c r="B50" s="464">
        <f>ROUNDUP(B$35*2,0)-1</f>
        <v>6</v>
      </c>
      <c r="C50" s="464">
        <f t="shared" ref="C50:E50" si="32">ROUNDUP(C$35*2,0)-1</f>
        <v>6</v>
      </c>
      <c r="D50" s="464">
        <f t="shared" si="32"/>
        <v>6</v>
      </c>
      <c r="E50" s="464">
        <f t="shared" si="32"/>
        <v>6</v>
      </c>
      <c r="F50" s="464">
        <f>ROUNDUP(F$35*3,0)-1</f>
        <v>11</v>
      </c>
      <c r="G50" s="464">
        <f>ROUNDUP(G$35*3,0)-1</f>
        <v>11</v>
      </c>
      <c r="H50" s="464">
        <f>ROUNDUP(H$35*3,0)+2</f>
        <v>14</v>
      </c>
      <c r="I50" s="464">
        <f t="shared" ref="I50:J50" si="33">ROUNDUP(I$35*3,0)+2</f>
        <v>14</v>
      </c>
      <c r="J50" s="464">
        <f t="shared" si="33"/>
        <v>14</v>
      </c>
      <c r="K50" s="464">
        <f>ROUNDUP(K$35*3,0)</f>
        <v>14</v>
      </c>
      <c r="L50" s="464">
        <f>ROUNDUP(L$35*3,0)</f>
        <v>14</v>
      </c>
      <c r="M50" s="464">
        <f>ROUNDUP(M$35*3,0)</f>
        <v>14</v>
      </c>
      <c r="N50" s="464">
        <f>ROUNDUP(N$35*3,0)+2</f>
        <v>17</v>
      </c>
      <c r="O50" s="464">
        <f t="shared" ref="O50:Y50" si="34">ROUNDUP(O$35*3,0)+2</f>
        <v>17</v>
      </c>
      <c r="P50" s="464">
        <f t="shared" si="34"/>
        <v>17</v>
      </c>
      <c r="Q50" s="464">
        <f t="shared" si="34"/>
        <v>17</v>
      </c>
      <c r="R50" s="464">
        <f t="shared" si="34"/>
        <v>17</v>
      </c>
      <c r="S50" s="464">
        <f t="shared" si="34"/>
        <v>17</v>
      </c>
      <c r="T50" s="464">
        <f t="shared" si="34"/>
        <v>17</v>
      </c>
      <c r="U50" s="464">
        <f t="shared" si="34"/>
        <v>17</v>
      </c>
      <c r="V50" s="464">
        <f t="shared" si="34"/>
        <v>17</v>
      </c>
      <c r="W50" s="464">
        <f t="shared" si="34"/>
        <v>17</v>
      </c>
      <c r="X50" s="464">
        <f t="shared" si="34"/>
        <v>17</v>
      </c>
      <c r="Y50" s="557">
        <f t="shared" si="34"/>
        <v>17</v>
      </c>
      <c r="Z50" s="464">
        <v>6</v>
      </c>
      <c r="AA50" s="90">
        <v>35</v>
      </c>
      <c r="AF50" s="107"/>
      <c r="AG50" s="441">
        <v>4</v>
      </c>
      <c r="AH50" s="442">
        <f>IF(AH49-$AG50&lt;0,0,AH49-$AG50)</f>
        <v>0</v>
      </c>
      <c r="AI50" s="442">
        <f>IF(ISERROR((AH50/$AH$52)*$AH$22),0,(AH50/$AH$52)*$AH$22)</f>
        <v>0</v>
      </c>
      <c r="AJ50" s="87"/>
    </row>
    <row r="51" spans="1:36" s="11" customFormat="1" ht="12" x14ac:dyDescent="0.2">
      <c r="A51" s="465" t="s">
        <v>182</v>
      </c>
      <c r="B51" s="467">
        <f>B49</f>
        <v>7</v>
      </c>
      <c r="C51" s="467">
        <f t="shared" ref="C51:Y51" si="35">C49</f>
        <v>7</v>
      </c>
      <c r="D51" s="467">
        <f t="shared" si="35"/>
        <v>7</v>
      </c>
      <c r="E51" s="467">
        <f t="shared" si="35"/>
        <v>7</v>
      </c>
      <c r="F51" s="467">
        <f t="shared" si="35"/>
        <v>12</v>
      </c>
      <c r="G51" s="467">
        <f t="shared" si="35"/>
        <v>12</v>
      </c>
      <c r="H51" s="467">
        <f t="shared" si="35"/>
        <v>15</v>
      </c>
      <c r="I51" s="467">
        <f t="shared" si="35"/>
        <v>15</v>
      </c>
      <c r="J51" s="467">
        <f t="shared" si="35"/>
        <v>15</v>
      </c>
      <c r="K51" s="467">
        <f t="shared" si="35"/>
        <v>15</v>
      </c>
      <c r="L51" s="467">
        <f t="shared" si="35"/>
        <v>15</v>
      </c>
      <c r="M51" s="467">
        <f t="shared" si="35"/>
        <v>15</v>
      </c>
      <c r="N51" s="467">
        <f t="shared" si="35"/>
        <v>20</v>
      </c>
      <c r="O51" s="467">
        <f t="shared" si="35"/>
        <v>20</v>
      </c>
      <c r="P51" s="467">
        <f t="shared" si="35"/>
        <v>20</v>
      </c>
      <c r="Q51" s="467">
        <f t="shared" si="35"/>
        <v>20</v>
      </c>
      <c r="R51" s="467">
        <f t="shared" si="35"/>
        <v>20</v>
      </c>
      <c r="S51" s="467">
        <f t="shared" si="35"/>
        <v>20</v>
      </c>
      <c r="T51" s="467">
        <f t="shared" si="35"/>
        <v>20</v>
      </c>
      <c r="U51" s="467">
        <f t="shared" si="35"/>
        <v>20</v>
      </c>
      <c r="V51" s="467">
        <f t="shared" si="35"/>
        <v>20</v>
      </c>
      <c r="W51" s="467">
        <f t="shared" si="35"/>
        <v>20</v>
      </c>
      <c r="X51" s="467">
        <f t="shared" si="35"/>
        <v>20</v>
      </c>
      <c r="Y51" s="558">
        <f t="shared" si="35"/>
        <v>20</v>
      </c>
      <c r="Z51" s="467">
        <v>7</v>
      </c>
      <c r="AA51" s="92">
        <v>36</v>
      </c>
      <c r="AF51" s="107"/>
      <c r="AG51" s="108" t="s">
        <v>155</v>
      </c>
      <c r="AH51" s="108" t="s">
        <v>156</v>
      </c>
      <c r="AI51" s="108" t="s">
        <v>183</v>
      </c>
      <c r="AJ51" s="87"/>
    </row>
    <row r="52" spans="1:36" s="11" customFormat="1" ht="12" x14ac:dyDescent="0.2">
      <c r="A52" s="465" t="s">
        <v>152</v>
      </c>
      <c r="B52" s="468">
        <f t="shared" ref="B52:Z52" si="36">B50</f>
        <v>6</v>
      </c>
      <c r="C52" s="468">
        <f t="shared" ref="C52:Y52" si="37">C50</f>
        <v>6</v>
      </c>
      <c r="D52" s="468">
        <f t="shared" si="37"/>
        <v>6</v>
      </c>
      <c r="E52" s="468">
        <f t="shared" si="37"/>
        <v>6</v>
      </c>
      <c r="F52" s="468">
        <f t="shared" si="37"/>
        <v>11</v>
      </c>
      <c r="G52" s="468">
        <f t="shared" si="37"/>
        <v>11</v>
      </c>
      <c r="H52" s="468">
        <f t="shared" si="37"/>
        <v>14</v>
      </c>
      <c r="I52" s="468">
        <f t="shared" si="37"/>
        <v>14</v>
      </c>
      <c r="J52" s="468">
        <f t="shared" si="37"/>
        <v>14</v>
      </c>
      <c r="K52" s="468">
        <f t="shared" si="37"/>
        <v>14</v>
      </c>
      <c r="L52" s="468">
        <f t="shared" si="37"/>
        <v>14</v>
      </c>
      <c r="M52" s="468">
        <f t="shared" si="37"/>
        <v>14</v>
      </c>
      <c r="N52" s="468">
        <f t="shared" si="37"/>
        <v>17</v>
      </c>
      <c r="O52" s="468">
        <f t="shared" si="37"/>
        <v>17</v>
      </c>
      <c r="P52" s="468">
        <f t="shared" si="37"/>
        <v>17</v>
      </c>
      <c r="Q52" s="468">
        <f t="shared" si="37"/>
        <v>17</v>
      </c>
      <c r="R52" s="468">
        <f t="shared" si="37"/>
        <v>17</v>
      </c>
      <c r="S52" s="468">
        <f t="shared" si="37"/>
        <v>17</v>
      </c>
      <c r="T52" s="468">
        <f t="shared" si="37"/>
        <v>17</v>
      </c>
      <c r="U52" s="468">
        <f t="shared" si="37"/>
        <v>17</v>
      </c>
      <c r="V52" s="468">
        <f t="shared" si="37"/>
        <v>17</v>
      </c>
      <c r="W52" s="468">
        <f t="shared" si="37"/>
        <v>17</v>
      </c>
      <c r="X52" s="468">
        <f t="shared" si="37"/>
        <v>17</v>
      </c>
      <c r="Y52" s="351">
        <f t="shared" si="37"/>
        <v>17</v>
      </c>
      <c r="Z52" s="467">
        <f t="shared" si="36"/>
        <v>6</v>
      </c>
      <c r="AA52" s="90">
        <v>37</v>
      </c>
      <c r="AF52" s="107"/>
      <c r="AG52" s="447">
        <f>SUM(AG40,AG42,AG44,AG46,AG48,AG50)</f>
        <v>35</v>
      </c>
      <c r="AH52" s="447">
        <f>SUM(AH39,AH41,AH43,AH45,AH47,AH49)</f>
        <v>8</v>
      </c>
      <c r="AI52" s="447">
        <f>SUM(AI39:AI50)</f>
        <v>0</v>
      </c>
      <c r="AJ52" s="87"/>
    </row>
    <row r="53" spans="1:36" s="11" customFormat="1" ht="12" x14ac:dyDescent="0.2">
      <c r="A53" s="469" t="s">
        <v>184</v>
      </c>
      <c r="B53" s="558"/>
      <c r="C53" s="67"/>
      <c r="D53" s="67"/>
      <c r="E53" s="67"/>
      <c r="F53" s="67"/>
      <c r="G53" s="67"/>
      <c r="H53" s="67"/>
      <c r="I53" s="64"/>
      <c r="J53" s="67"/>
      <c r="K53" s="67"/>
      <c r="L53" s="67"/>
      <c r="M53" s="67"/>
      <c r="N53" s="67"/>
      <c r="O53" s="67"/>
      <c r="P53" s="67"/>
      <c r="Q53" s="67"/>
      <c r="R53" s="67"/>
      <c r="S53" s="67"/>
      <c r="T53" s="67"/>
      <c r="U53" s="67"/>
      <c r="V53" s="67"/>
      <c r="W53" s="67"/>
      <c r="X53" s="67"/>
      <c r="Y53" s="68"/>
      <c r="Z53" s="467"/>
      <c r="AA53" s="92">
        <v>38</v>
      </c>
      <c r="AF53" s="107" t="s">
        <v>159</v>
      </c>
      <c r="AG53" s="87"/>
      <c r="AH53" s="87"/>
      <c r="AI53" s="87"/>
      <c r="AJ53" s="87"/>
    </row>
    <row r="54" spans="1:36" s="11" customFormat="1" ht="12" x14ac:dyDescent="0.2">
      <c r="A54" s="471" t="s">
        <v>185</v>
      </c>
      <c r="B54" s="472">
        <f t="shared" ref="B54:E55" si="38">ROUND($B124/$B$2*B$35*0.5,0)-1</f>
        <v>4</v>
      </c>
      <c r="C54" s="472">
        <f t="shared" si="38"/>
        <v>4</v>
      </c>
      <c r="D54" s="472">
        <f t="shared" si="38"/>
        <v>4</v>
      </c>
      <c r="E54" s="472">
        <f t="shared" si="38"/>
        <v>4</v>
      </c>
      <c r="F54" s="472">
        <f>ROUND($B124/$B$2*F$35*0.7,0)-1</f>
        <v>7</v>
      </c>
      <c r="G54" s="472">
        <f>ROUND($B124/$B$2*G$35*0.7,0)-1</f>
        <v>7</v>
      </c>
      <c r="H54" s="472">
        <f>ROUND($B124/$B$2*H$35*0.95,0)-1</f>
        <v>10</v>
      </c>
      <c r="I54" s="472">
        <f>ROUND($B124/$B$2*I$35*0.95,0)-1</f>
        <v>10</v>
      </c>
      <c r="J54" s="472">
        <f>ROUND($B124/$B$2*J$35*0.95,0)-1</f>
        <v>10</v>
      </c>
      <c r="K54" s="472">
        <f>ROUND($B124/$B$2*K$35*0.95,0)-2</f>
        <v>10</v>
      </c>
      <c r="L54" s="472">
        <f>ROUND($B124/$B$2*L$35*0.95,0)-2</f>
        <v>10</v>
      </c>
      <c r="M54" s="472">
        <f>ROUND($B124/$B$2*M$35*0.95,0)-2</f>
        <v>10</v>
      </c>
      <c r="N54" s="472">
        <f t="shared" ref="N54:Y54" si="39">ROUND($B124/$B$2*N$35,0)</f>
        <v>14</v>
      </c>
      <c r="O54" s="472">
        <f t="shared" si="39"/>
        <v>14</v>
      </c>
      <c r="P54" s="472">
        <f t="shared" si="39"/>
        <v>14</v>
      </c>
      <c r="Q54" s="472">
        <f t="shared" si="39"/>
        <v>14</v>
      </c>
      <c r="R54" s="472">
        <f t="shared" si="39"/>
        <v>14</v>
      </c>
      <c r="S54" s="472">
        <f t="shared" si="39"/>
        <v>14</v>
      </c>
      <c r="T54" s="472">
        <f t="shared" si="39"/>
        <v>14</v>
      </c>
      <c r="U54" s="472">
        <f t="shared" si="39"/>
        <v>14</v>
      </c>
      <c r="V54" s="472">
        <f t="shared" si="39"/>
        <v>14</v>
      </c>
      <c r="W54" s="472">
        <f t="shared" si="39"/>
        <v>14</v>
      </c>
      <c r="X54" s="472">
        <f t="shared" si="39"/>
        <v>14</v>
      </c>
      <c r="Y54" s="473">
        <f t="shared" si="39"/>
        <v>14</v>
      </c>
      <c r="Z54" s="472">
        <v>4</v>
      </c>
      <c r="AA54" s="90">
        <v>39</v>
      </c>
      <c r="AF54" s="87"/>
    </row>
    <row r="55" spans="1:36" s="11" customFormat="1" ht="12" x14ac:dyDescent="0.2">
      <c r="A55" s="471" t="s">
        <v>186</v>
      </c>
      <c r="B55" s="472">
        <f t="shared" si="38"/>
        <v>3</v>
      </c>
      <c r="C55" s="472">
        <f t="shared" si="38"/>
        <v>3</v>
      </c>
      <c r="D55" s="472">
        <f t="shared" si="38"/>
        <v>3</v>
      </c>
      <c r="E55" s="472">
        <f t="shared" si="38"/>
        <v>3</v>
      </c>
      <c r="F55" s="472">
        <f>ROUND($B125/$B$2*F$35*0.9,0)-1</f>
        <v>6</v>
      </c>
      <c r="G55" s="472">
        <f>ROUND($B125/$B$2*G$35*0.9,0)-1</f>
        <v>6</v>
      </c>
      <c r="H55" s="472">
        <f>ROUND($B125/$B$2*H$35,0)</f>
        <v>8</v>
      </c>
      <c r="I55" s="472">
        <f>ROUND($B125/$B$2*I$35,0)</f>
        <v>8</v>
      </c>
      <c r="J55" s="472">
        <f>ROUND($B125/$B$2*J$35,0)</f>
        <v>8</v>
      </c>
      <c r="K55" s="472">
        <f>ROUND($B125/$B$2*K$35,0)-1</f>
        <v>8</v>
      </c>
      <c r="L55" s="472">
        <f>ROUND($B125/$B$2*L$35,0)-1</f>
        <v>8</v>
      </c>
      <c r="M55" s="472">
        <f>ROUND($B125/$B$2*M$35,0)-1</f>
        <v>8</v>
      </c>
      <c r="N55" s="472">
        <f t="shared" ref="N55:Y55" si="40">ROUND($B125/$B$2*N$35,0)</f>
        <v>10</v>
      </c>
      <c r="O55" s="472">
        <f t="shared" si="40"/>
        <v>10</v>
      </c>
      <c r="P55" s="472">
        <f t="shared" si="40"/>
        <v>10</v>
      </c>
      <c r="Q55" s="472">
        <f t="shared" si="40"/>
        <v>10</v>
      </c>
      <c r="R55" s="472">
        <f t="shared" si="40"/>
        <v>10</v>
      </c>
      <c r="S55" s="472">
        <f t="shared" si="40"/>
        <v>10</v>
      </c>
      <c r="T55" s="472">
        <f t="shared" si="40"/>
        <v>10</v>
      </c>
      <c r="U55" s="472">
        <f t="shared" si="40"/>
        <v>10</v>
      </c>
      <c r="V55" s="472">
        <f t="shared" si="40"/>
        <v>10</v>
      </c>
      <c r="W55" s="472">
        <f t="shared" si="40"/>
        <v>10</v>
      </c>
      <c r="X55" s="472">
        <f t="shared" si="40"/>
        <v>10</v>
      </c>
      <c r="Y55" s="473">
        <f t="shared" si="40"/>
        <v>10</v>
      </c>
      <c r="Z55" s="472">
        <v>3</v>
      </c>
      <c r="AA55" s="92">
        <v>40</v>
      </c>
      <c r="AF55" s="87"/>
    </row>
    <row r="56" spans="1:36" s="11" customFormat="1" ht="12" x14ac:dyDescent="0.2">
      <c r="A56" s="465" t="s">
        <v>187</v>
      </c>
      <c r="B56" s="474">
        <v>0</v>
      </c>
      <c r="C56" s="474">
        <v>0</v>
      </c>
      <c r="D56" s="474">
        <v>0</v>
      </c>
      <c r="E56" s="474">
        <v>0</v>
      </c>
      <c r="F56" s="474">
        <f>ROUND($B126/$B$2*F$35*0.4,0)-1</f>
        <v>2</v>
      </c>
      <c r="G56" s="474">
        <f>ROUND($B126/$B$2*G$35*0.4,0)-1</f>
        <v>2</v>
      </c>
      <c r="H56" s="474">
        <f>ROUND($B126/$B$2*H$35*0.6,0)</f>
        <v>4</v>
      </c>
      <c r="I56" s="474">
        <f>ROUND($B126/$B$2*I$35*0.6,0)</f>
        <v>4</v>
      </c>
      <c r="J56" s="474">
        <f>ROUND($B126/$B$2*J$35*0.6,0)</f>
        <v>4</v>
      </c>
      <c r="K56" s="474">
        <f t="shared" ref="K56:M57" si="41">ROUND($B126/$B$2*K$35*0.5,0)</f>
        <v>4</v>
      </c>
      <c r="L56" s="474">
        <f t="shared" si="41"/>
        <v>4</v>
      </c>
      <c r="M56" s="474">
        <f t="shared" si="41"/>
        <v>4</v>
      </c>
      <c r="N56" s="474">
        <f t="shared" ref="N56:Y56" si="42">ROUND($B126/$B$2*N$35,0)</f>
        <v>8</v>
      </c>
      <c r="O56" s="474">
        <f t="shared" si="42"/>
        <v>8</v>
      </c>
      <c r="P56" s="474">
        <f t="shared" si="42"/>
        <v>8</v>
      </c>
      <c r="Q56" s="474">
        <f t="shared" si="42"/>
        <v>8</v>
      </c>
      <c r="R56" s="474">
        <f t="shared" si="42"/>
        <v>8</v>
      </c>
      <c r="S56" s="474">
        <f t="shared" si="42"/>
        <v>8</v>
      </c>
      <c r="T56" s="474">
        <f t="shared" si="42"/>
        <v>8</v>
      </c>
      <c r="U56" s="474">
        <f t="shared" si="42"/>
        <v>8</v>
      </c>
      <c r="V56" s="474">
        <f t="shared" si="42"/>
        <v>8</v>
      </c>
      <c r="W56" s="474">
        <f t="shared" si="42"/>
        <v>8</v>
      </c>
      <c r="X56" s="474">
        <f t="shared" si="42"/>
        <v>8</v>
      </c>
      <c r="Y56" s="475">
        <f t="shared" si="42"/>
        <v>8</v>
      </c>
      <c r="Z56" s="474">
        <v>0</v>
      </c>
      <c r="AA56" s="90">
        <v>41</v>
      </c>
      <c r="AD56" s="95"/>
      <c r="AE56" s="95"/>
      <c r="AF56" s="87"/>
    </row>
    <row r="57" spans="1:36" s="11" customFormat="1" ht="12" x14ac:dyDescent="0.2">
      <c r="A57" s="465" t="s">
        <v>188</v>
      </c>
      <c r="B57" s="474">
        <v>0</v>
      </c>
      <c r="C57" s="474">
        <v>0</v>
      </c>
      <c r="D57" s="474">
        <v>0</v>
      </c>
      <c r="E57" s="474">
        <v>0</v>
      </c>
      <c r="F57" s="474">
        <f>ROUND($B127/$B$2*F$35*0.5,0)-1</f>
        <v>1</v>
      </c>
      <c r="G57" s="474">
        <f>ROUND($B127/$B$2*G$35*0.5,0)-1</f>
        <v>1</v>
      </c>
      <c r="H57" s="474">
        <f t="shared" ref="H57:J58" si="43">ROUND($B127/$B$2*H$35*0.7,0)</f>
        <v>2</v>
      </c>
      <c r="I57" s="474">
        <f t="shared" si="43"/>
        <v>2</v>
      </c>
      <c r="J57" s="474">
        <f t="shared" si="43"/>
        <v>2</v>
      </c>
      <c r="K57" s="474">
        <f t="shared" si="41"/>
        <v>2</v>
      </c>
      <c r="L57" s="474">
        <f t="shared" si="41"/>
        <v>2</v>
      </c>
      <c r="M57" s="474">
        <f t="shared" si="41"/>
        <v>2</v>
      </c>
      <c r="N57" s="474">
        <f t="shared" ref="N57:Y57" si="44">ROUND($B127/$B$2*N$35,0)</f>
        <v>4</v>
      </c>
      <c r="O57" s="474">
        <f t="shared" si="44"/>
        <v>4</v>
      </c>
      <c r="P57" s="474">
        <f t="shared" si="44"/>
        <v>4</v>
      </c>
      <c r="Q57" s="474">
        <f t="shared" si="44"/>
        <v>4</v>
      </c>
      <c r="R57" s="474">
        <f t="shared" si="44"/>
        <v>4</v>
      </c>
      <c r="S57" s="474">
        <f t="shared" si="44"/>
        <v>4</v>
      </c>
      <c r="T57" s="474">
        <f t="shared" si="44"/>
        <v>4</v>
      </c>
      <c r="U57" s="474">
        <f t="shared" si="44"/>
        <v>4</v>
      </c>
      <c r="V57" s="474">
        <f t="shared" si="44"/>
        <v>4</v>
      </c>
      <c r="W57" s="474">
        <f t="shared" si="44"/>
        <v>4</v>
      </c>
      <c r="X57" s="474">
        <f t="shared" si="44"/>
        <v>4</v>
      </c>
      <c r="Y57" s="475">
        <f t="shared" si="44"/>
        <v>4</v>
      </c>
      <c r="Z57" s="474">
        <v>0</v>
      </c>
      <c r="AA57" s="92">
        <v>42</v>
      </c>
      <c r="AB57" s="109"/>
      <c r="AC57" s="116"/>
      <c r="AD57" s="87"/>
      <c r="AE57" s="87"/>
      <c r="AF57" s="87"/>
    </row>
    <row r="58" spans="1:36" s="11" customFormat="1" x14ac:dyDescent="0.2">
      <c r="A58" s="471" t="s">
        <v>189</v>
      </c>
      <c r="B58" s="472">
        <v>0</v>
      </c>
      <c r="C58" s="472">
        <v>0</v>
      </c>
      <c r="D58" s="472">
        <v>0</v>
      </c>
      <c r="E58" s="472">
        <v>0</v>
      </c>
      <c r="F58" s="472">
        <f>ROUND($B128/$B$2*F$35*0.4,0)-1</f>
        <v>3</v>
      </c>
      <c r="G58" s="472">
        <f>ROUND($B128/$B$2*G$35*0.4,0)-1</f>
        <v>3</v>
      </c>
      <c r="H58" s="472">
        <f t="shared" si="43"/>
        <v>6</v>
      </c>
      <c r="I58" s="472">
        <f t="shared" si="43"/>
        <v>6</v>
      </c>
      <c r="J58" s="472">
        <f t="shared" si="43"/>
        <v>6</v>
      </c>
      <c r="K58" s="472">
        <f t="shared" ref="K58:M59" si="45">ROUND($B128/$B$2*K$35*0.5,0)+1</f>
        <v>6</v>
      </c>
      <c r="L58" s="472">
        <f t="shared" si="45"/>
        <v>6</v>
      </c>
      <c r="M58" s="472">
        <f t="shared" si="45"/>
        <v>6</v>
      </c>
      <c r="N58" s="472">
        <f t="shared" ref="N58:Y58" si="46">ROUND($B128/$B$2*N$35,0)</f>
        <v>11</v>
      </c>
      <c r="O58" s="472">
        <f t="shared" si="46"/>
        <v>11</v>
      </c>
      <c r="P58" s="472">
        <f t="shared" si="46"/>
        <v>11</v>
      </c>
      <c r="Q58" s="472">
        <f t="shared" si="46"/>
        <v>11</v>
      </c>
      <c r="R58" s="472">
        <f t="shared" si="46"/>
        <v>11</v>
      </c>
      <c r="S58" s="472">
        <f t="shared" si="46"/>
        <v>11</v>
      </c>
      <c r="T58" s="472">
        <f t="shared" si="46"/>
        <v>11</v>
      </c>
      <c r="U58" s="472">
        <f t="shared" si="46"/>
        <v>11</v>
      </c>
      <c r="V58" s="472">
        <f t="shared" si="46"/>
        <v>11</v>
      </c>
      <c r="W58" s="472">
        <f t="shared" si="46"/>
        <v>11</v>
      </c>
      <c r="X58" s="472">
        <f t="shared" si="46"/>
        <v>11</v>
      </c>
      <c r="Y58" s="473">
        <f t="shared" si="46"/>
        <v>11</v>
      </c>
      <c r="Z58" s="472">
        <v>0</v>
      </c>
      <c r="AA58" s="90">
        <v>43</v>
      </c>
      <c r="AB58" s="87"/>
      <c r="AC58" s="87"/>
      <c r="AD58" s="95"/>
      <c r="AE58" s="95"/>
      <c r="AF58" s="72"/>
    </row>
    <row r="59" spans="1:36" s="11" customFormat="1" x14ac:dyDescent="0.2">
      <c r="A59" s="471" t="s">
        <v>190</v>
      </c>
      <c r="B59" s="472">
        <v>0</v>
      </c>
      <c r="C59" s="472">
        <v>0</v>
      </c>
      <c r="D59" s="472">
        <v>0</v>
      </c>
      <c r="E59" s="472">
        <v>0</v>
      </c>
      <c r="F59" s="472">
        <f>ROUND($B129/$B$2*F$35*0.5,0)-1</f>
        <v>2</v>
      </c>
      <c r="G59" s="472">
        <f>ROUND($B129/$B$2*G$35*0.5,0)-1</f>
        <v>2</v>
      </c>
      <c r="H59" s="472">
        <f>ROUND($B129/$B$2*H$35*0.75,0)</f>
        <v>4</v>
      </c>
      <c r="I59" s="472">
        <f>ROUND($B129/$B$2*I$35*0.75,0)</f>
        <v>4</v>
      </c>
      <c r="J59" s="472">
        <f>ROUND($B129/$B$2*J$35*0.75,0)</f>
        <v>4</v>
      </c>
      <c r="K59" s="472">
        <f t="shared" si="45"/>
        <v>4</v>
      </c>
      <c r="L59" s="472">
        <f t="shared" si="45"/>
        <v>4</v>
      </c>
      <c r="M59" s="472">
        <f t="shared" si="45"/>
        <v>4</v>
      </c>
      <c r="N59" s="472">
        <f t="shared" ref="N59:Y59" si="47">ROUND($B129/$B$2*N$35,0)</f>
        <v>7</v>
      </c>
      <c r="O59" s="472">
        <f t="shared" si="47"/>
        <v>7</v>
      </c>
      <c r="P59" s="472">
        <f t="shared" si="47"/>
        <v>7</v>
      </c>
      <c r="Q59" s="472">
        <f t="shared" si="47"/>
        <v>7</v>
      </c>
      <c r="R59" s="472">
        <f t="shared" si="47"/>
        <v>7</v>
      </c>
      <c r="S59" s="472">
        <f t="shared" si="47"/>
        <v>7</v>
      </c>
      <c r="T59" s="472">
        <f t="shared" si="47"/>
        <v>7</v>
      </c>
      <c r="U59" s="472">
        <f t="shared" si="47"/>
        <v>7</v>
      </c>
      <c r="V59" s="472">
        <f t="shared" si="47"/>
        <v>7</v>
      </c>
      <c r="W59" s="472">
        <f t="shared" si="47"/>
        <v>7</v>
      </c>
      <c r="X59" s="472">
        <f t="shared" si="47"/>
        <v>7</v>
      </c>
      <c r="Y59" s="473">
        <f t="shared" si="47"/>
        <v>7</v>
      </c>
      <c r="Z59" s="472">
        <v>0</v>
      </c>
      <c r="AA59" s="92">
        <v>44</v>
      </c>
      <c r="AB59" s="43"/>
      <c r="AC59" s="110"/>
      <c r="AD59" s="95"/>
      <c r="AE59" s="95"/>
      <c r="AF59" s="72"/>
    </row>
    <row r="60" spans="1:36" s="11" customFormat="1" x14ac:dyDescent="0.2">
      <c r="A60" s="465" t="s">
        <v>191</v>
      </c>
      <c r="B60" s="474">
        <f>ROUND($B130/$B$2*B$35*0.5,0)-1</f>
        <v>4</v>
      </c>
      <c r="C60" s="474">
        <f>ROUND($B130/$B$2*C$35*0.5,0)-1</f>
        <v>4</v>
      </c>
      <c r="D60" s="474">
        <f>ROUND($B130/$B$2*D$35*0.5,0)-1</f>
        <v>4</v>
      </c>
      <c r="E60" s="474">
        <f>ROUND($B130/$B$2*E$35*0.5,0)-1</f>
        <v>4</v>
      </c>
      <c r="F60" s="474">
        <f>ROUND($B130/$B$2*F$35*0.8,0)-1</f>
        <v>7</v>
      </c>
      <c r="G60" s="474">
        <f>ROUND($B130/$B$2*G$35*0.8,0)-1</f>
        <v>7</v>
      </c>
      <c r="H60" s="474">
        <f>ROUND($B130/$B$2*H$35,0)</f>
        <v>10</v>
      </c>
      <c r="I60" s="474">
        <f>ROUND($B130/$B$2*I$35,0)</f>
        <v>10</v>
      </c>
      <c r="J60" s="474">
        <f>ROUND($B130/$B$2*J$35,0)</f>
        <v>10</v>
      </c>
      <c r="K60" s="474">
        <f>ROUND($B130/$B$2*K$35*0.8,0)+1</f>
        <v>10</v>
      </c>
      <c r="L60" s="474">
        <f>ROUND($B130/$B$2*L$35*0.8,0)+1</f>
        <v>10</v>
      </c>
      <c r="M60" s="474">
        <f>ROUND($B130/$B$2*M$35*0.8,0)+1</f>
        <v>10</v>
      </c>
      <c r="N60" s="474">
        <f t="shared" ref="N60:Y60" si="48">ROUND($B130/$B$2*N$35,0)</f>
        <v>13</v>
      </c>
      <c r="O60" s="474">
        <f t="shared" si="48"/>
        <v>13</v>
      </c>
      <c r="P60" s="474">
        <f t="shared" si="48"/>
        <v>13</v>
      </c>
      <c r="Q60" s="474">
        <f t="shared" si="48"/>
        <v>13</v>
      </c>
      <c r="R60" s="474">
        <f t="shared" si="48"/>
        <v>13</v>
      </c>
      <c r="S60" s="474">
        <f t="shared" si="48"/>
        <v>13</v>
      </c>
      <c r="T60" s="474">
        <f t="shared" si="48"/>
        <v>13</v>
      </c>
      <c r="U60" s="474">
        <f t="shared" si="48"/>
        <v>13</v>
      </c>
      <c r="V60" s="474">
        <f t="shared" si="48"/>
        <v>13</v>
      </c>
      <c r="W60" s="474">
        <f t="shared" si="48"/>
        <v>13</v>
      </c>
      <c r="X60" s="474">
        <f t="shared" si="48"/>
        <v>13</v>
      </c>
      <c r="Y60" s="475">
        <f t="shared" si="48"/>
        <v>13</v>
      </c>
      <c r="Z60" s="474">
        <v>4</v>
      </c>
      <c r="AA60" s="90">
        <v>45</v>
      </c>
      <c r="AB60" s="87"/>
      <c r="AC60" s="110"/>
      <c r="AD60" s="95"/>
      <c r="AE60" s="87"/>
      <c r="AF60" s="72"/>
    </row>
    <row r="61" spans="1:36" s="11" customFormat="1" x14ac:dyDescent="0.2">
      <c r="A61" s="465" t="s">
        <v>192</v>
      </c>
      <c r="B61" s="474">
        <f>ROUND($B131/$B$2*B$35*0.5,0)</f>
        <v>3</v>
      </c>
      <c r="C61" s="474">
        <f>ROUND($B131/$B$2*C$35*0.5,0)</f>
        <v>3</v>
      </c>
      <c r="D61" s="474">
        <f>ROUND($B131/$B$2*D$35*0.5,0)</f>
        <v>3</v>
      </c>
      <c r="E61" s="474">
        <f>ROUND($B131/$B$2*E$35*0.5,0)</f>
        <v>3</v>
      </c>
      <c r="F61" s="474">
        <f>ROUND($B131/$B$2*F$35,0)-1</f>
        <v>6</v>
      </c>
      <c r="G61" s="474">
        <f>ROUND($B131/$B$2*G$35,0)-1</f>
        <v>6</v>
      </c>
      <c r="H61" s="474">
        <f>ROUND($B131/$B$2*H$35,0)+1</f>
        <v>8</v>
      </c>
      <c r="I61" s="474">
        <f>ROUND($B131/$B$2*I$35,0)+1</f>
        <v>8</v>
      </c>
      <c r="J61" s="474">
        <f>ROUND($B131/$B$2*J$35,0)+1</f>
        <v>8</v>
      </c>
      <c r="K61" s="474">
        <f>ROUND($B131/$B$2*K$35*0.9,0)+1</f>
        <v>8</v>
      </c>
      <c r="L61" s="474">
        <f>ROUND($B131/$B$2*L$35*0.9,0)+1</f>
        <v>8</v>
      </c>
      <c r="M61" s="474">
        <f>ROUND($B131/$B$2*M$35*0.9,0)+1</f>
        <v>8</v>
      </c>
      <c r="N61" s="474">
        <f t="shared" ref="N61:Y61" si="49">ROUND($B131/$B$2*N$35,0)</f>
        <v>9</v>
      </c>
      <c r="O61" s="474">
        <f t="shared" si="49"/>
        <v>9</v>
      </c>
      <c r="P61" s="474">
        <f t="shared" si="49"/>
        <v>9</v>
      </c>
      <c r="Q61" s="474">
        <f t="shared" si="49"/>
        <v>9</v>
      </c>
      <c r="R61" s="474">
        <f t="shared" si="49"/>
        <v>9</v>
      </c>
      <c r="S61" s="474">
        <f t="shared" si="49"/>
        <v>9</v>
      </c>
      <c r="T61" s="474">
        <f t="shared" si="49"/>
        <v>9</v>
      </c>
      <c r="U61" s="474">
        <f t="shared" si="49"/>
        <v>9</v>
      </c>
      <c r="V61" s="474">
        <f t="shared" si="49"/>
        <v>9</v>
      </c>
      <c r="W61" s="474">
        <f t="shared" si="49"/>
        <v>9</v>
      </c>
      <c r="X61" s="474">
        <f t="shared" si="49"/>
        <v>9</v>
      </c>
      <c r="Y61" s="475">
        <f t="shared" si="49"/>
        <v>9</v>
      </c>
      <c r="Z61" s="474">
        <v>3</v>
      </c>
      <c r="AA61" s="92">
        <v>46</v>
      </c>
      <c r="AB61" s="107"/>
      <c r="AC61" s="109"/>
      <c r="AD61" s="20"/>
      <c r="AF61" s="72"/>
    </row>
    <row r="62" spans="1:36" s="11" customFormat="1" ht="12" x14ac:dyDescent="0.2">
      <c r="A62" s="471" t="s">
        <v>193</v>
      </c>
      <c r="B62" s="472">
        <f>ROUND($B132/$B$2*B$35*0.6,0)-1</f>
        <v>4</v>
      </c>
      <c r="C62" s="472">
        <f>ROUND($B132/$B$2*C$35*0.6,0)-1</f>
        <v>4</v>
      </c>
      <c r="D62" s="472">
        <f>ROUND($B132/$B$2*D$35*0.6,0)-1</f>
        <v>4</v>
      </c>
      <c r="E62" s="472">
        <f>ROUND($B132/$B$2*E$35*0.6,0)-1</f>
        <v>4</v>
      </c>
      <c r="F62" s="472">
        <f>ROUND($B132/$B$2*F$35*0.7,0)-1</f>
        <v>5</v>
      </c>
      <c r="G62" s="472">
        <f>ROUND($B132/$B$2*G$35*0.7,0)-1</f>
        <v>5</v>
      </c>
      <c r="H62" s="472">
        <f>ROUND($B132/$B$2*H$35*0.95,0)</f>
        <v>8</v>
      </c>
      <c r="I62" s="472">
        <f>ROUND($B132/$B$2*I$35*0.95,0)</f>
        <v>8</v>
      </c>
      <c r="J62" s="472">
        <f>ROUND($B132/$B$2*J$35*0.95,0)</f>
        <v>8</v>
      </c>
      <c r="K62" s="472">
        <f>ROUND($B132/$B$2*K$35*0.8,0)</f>
        <v>8</v>
      </c>
      <c r="L62" s="472">
        <f>ROUND($B132/$B$2*L$35*0.8,0)</f>
        <v>8</v>
      </c>
      <c r="M62" s="472">
        <f>ROUND($B132/$B$2*M$35*0.8,0)</f>
        <v>8</v>
      </c>
      <c r="N62" s="472">
        <f t="shared" ref="N62:Y62" si="50">ROUND($B132/$B$2*N$35,0)</f>
        <v>11</v>
      </c>
      <c r="O62" s="472">
        <f t="shared" si="50"/>
        <v>11</v>
      </c>
      <c r="P62" s="472">
        <f t="shared" si="50"/>
        <v>11</v>
      </c>
      <c r="Q62" s="472">
        <f t="shared" si="50"/>
        <v>11</v>
      </c>
      <c r="R62" s="472">
        <f t="shared" si="50"/>
        <v>11</v>
      </c>
      <c r="S62" s="472">
        <f t="shared" si="50"/>
        <v>11</v>
      </c>
      <c r="T62" s="472">
        <f t="shared" si="50"/>
        <v>11</v>
      </c>
      <c r="U62" s="472">
        <f t="shared" si="50"/>
        <v>11</v>
      </c>
      <c r="V62" s="472">
        <f t="shared" si="50"/>
        <v>11</v>
      </c>
      <c r="W62" s="472">
        <f t="shared" si="50"/>
        <v>11</v>
      </c>
      <c r="X62" s="472">
        <f t="shared" si="50"/>
        <v>11</v>
      </c>
      <c r="Y62" s="473">
        <f t="shared" si="50"/>
        <v>11</v>
      </c>
      <c r="Z62" s="472">
        <v>4</v>
      </c>
      <c r="AA62" s="90">
        <v>47</v>
      </c>
      <c r="AB62" s="109"/>
      <c r="AC62" s="20"/>
      <c r="AD62" s="20"/>
      <c r="AE62" s="7"/>
    </row>
    <row r="63" spans="1:36" s="11" customFormat="1" ht="12" x14ac:dyDescent="0.2">
      <c r="A63" s="471" t="s">
        <v>194</v>
      </c>
      <c r="B63" s="472">
        <f>ROUND($B133/$B$2*B$41*0.7,0)</f>
        <v>2</v>
      </c>
      <c r="C63" s="472">
        <f>ROUND($B133/$B$2*C$41*0.7,0)</f>
        <v>2</v>
      </c>
      <c r="D63" s="472">
        <f>ROUND($B133/$B$2*D$41*0.7,0)</f>
        <v>2</v>
      </c>
      <c r="E63" s="472">
        <f>ROUND($B133/$B$2*E$41*0.7,0)</f>
        <v>2</v>
      </c>
      <c r="F63" s="472">
        <f>ROUND($B133/$B$2*F$41*0.5,0)+2</f>
        <v>4</v>
      </c>
      <c r="G63" s="472">
        <f>ROUND($B133/$B$2*G$41*0.5,0)+2</f>
        <v>4</v>
      </c>
      <c r="H63" s="472">
        <f t="shared" ref="H63:M63" si="51">ROUND($B133/$B$2*H$35,0)</f>
        <v>6</v>
      </c>
      <c r="I63" s="472">
        <f t="shared" si="51"/>
        <v>6</v>
      </c>
      <c r="J63" s="472">
        <f t="shared" si="51"/>
        <v>6</v>
      </c>
      <c r="K63" s="472">
        <f t="shared" si="51"/>
        <v>6</v>
      </c>
      <c r="L63" s="472">
        <f t="shared" si="51"/>
        <v>6</v>
      </c>
      <c r="M63" s="472">
        <f t="shared" si="51"/>
        <v>6</v>
      </c>
      <c r="N63" s="472">
        <f t="shared" ref="N63:Y63" si="52">ROUND($B133/$B$2*N$35,0)</f>
        <v>7</v>
      </c>
      <c r="O63" s="472">
        <f t="shared" si="52"/>
        <v>7</v>
      </c>
      <c r="P63" s="472">
        <f t="shared" si="52"/>
        <v>7</v>
      </c>
      <c r="Q63" s="472">
        <f t="shared" si="52"/>
        <v>7</v>
      </c>
      <c r="R63" s="472">
        <f t="shared" si="52"/>
        <v>7</v>
      </c>
      <c r="S63" s="472">
        <f t="shared" si="52"/>
        <v>7</v>
      </c>
      <c r="T63" s="472">
        <f t="shared" si="52"/>
        <v>7</v>
      </c>
      <c r="U63" s="472">
        <f t="shared" si="52"/>
        <v>7</v>
      </c>
      <c r="V63" s="472">
        <f t="shared" si="52"/>
        <v>7</v>
      </c>
      <c r="W63" s="472">
        <f t="shared" si="52"/>
        <v>7</v>
      </c>
      <c r="X63" s="472">
        <f t="shared" si="52"/>
        <v>7</v>
      </c>
      <c r="Y63" s="473">
        <f t="shared" si="52"/>
        <v>7</v>
      </c>
      <c r="Z63" s="472">
        <v>3</v>
      </c>
      <c r="AA63" s="92">
        <v>48</v>
      </c>
      <c r="AB63" s="109"/>
      <c r="AC63" s="20"/>
      <c r="AD63" s="7"/>
      <c r="AE63" s="7"/>
      <c r="AF63" s="7"/>
    </row>
    <row r="64" spans="1:36" s="11" customFormat="1" ht="12" x14ac:dyDescent="0.2">
      <c r="A64" s="465" t="s">
        <v>195</v>
      </c>
      <c r="B64" s="474">
        <f t="shared" ref="B64:G64" si="53">ROUND($B134/$B$2*B$35*0.5,0)</f>
        <v>4</v>
      </c>
      <c r="C64" s="474">
        <f t="shared" si="53"/>
        <v>4</v>
      </c>
      <c r="D64" s="474">
        <f t="shared" si="53"/>
        <v>4</v>
      </c>
      <c r="E64" s="474">
        <f t="shared" si="53"/>
        <v>4</v>
      </c>
      <c r="F64" s="474">
        <f t="shared" si="53"/>
        <v>5</v>
      </c>
      <c r="G64" s="474">
        <f t="shared" si="53"/>
        <v>5</v>
      </c>
      <c r="H64" s="474">
        <f>ROUND($B134/$B$2*H$35*0.8,0)</f>
        <v>8</v>
      </c>
      <c r="I64" s="474">
        <f>ROUND($B134/$B$2*I$35*0.8,0)</f>
        <v>8</v>
      </c>
      <c r="J64" s="474">
        <f>ROUND($B134/$B$2*J$35*0.8,0)</f>
        <v>8</v>
      </c>
      <c r="K64" s="474">
        <f>ROUND($B134/$B$2*K$35*0.7,0)</f>
        <v>8</v>
      </c>
      <c r="L64" s="474">
        <f>ROUND($B134/$B$2*L$35*0.7,0)</f>
        <v>8</v>
      </c>
      <c r="M64" s="474">
        <f>ROUND($B134/$B$2*M$35*0.7,0)</f>
        <v>8</v>
      </c>
      <c r="N64" s="474">
        <f t="shared" ref="N64:Y64" si="54">ROUND($B134/$B$2*N$35,0)</f>
        <v>12</v>
      </c>
      <c r="O64" s="474">
        <f t="shared" si="54"/>
        <v>12</v>
      </c>
      <c r="P64" s="474">
        <f t="shared" si="54"/>
        <v>12</v>
      </c>
      <c r="Q64" s="474">
        <f t="shared" si="54"/>
        <v>12</v>
      </c>
      <c r="R64" s="474">
        <f t="shared" si="54"/>
        <v>12</v>
      </c>
      <c r="S64" s="474">
        <f t="shared" si="54"/>
        <v>12</v>
      </c>
      <c r="T64" s="474">
        <f t="shared" si="54"/>
        <v>12</v>
      </c>
      <c r="U64" s="474">
        <f t="shared" si="54"/>
        <v>12</v>
      </c>
      <c r="V64" s="474">
        <f t="shared" si="54"/>
        <v>12</v>
      </c>
      <c r="W64" s="474">
        <f t="shared" si="54"/>
        <v>12</v>
      </c>
      <c r="X64" s="474">
        <f t="shared" si="54"/>
        <v>12</v>
      </c>
      <c r="Y64" s="475">
        <f t="shared" si="54"/>
        <v>12</v>
      </c>
      <c r="Z64" s="474">
        <v>4</v>
      </c>
      <c r="AA64" s="90">
        <v>49</v>
      </c>
      <c r="AB64" s="107"/>
      <c r="AC64" s="7"/>
      <c r="AD64" s="7"/>
      <c r="AE64" s="7"/>
      <c r="AF64" s="7"/>
    </row>
    <row r="65" spans="1:46" s="11" customFormat="1" thickBot="1" x14ac:dyDescent="0.25">
      <c r="A65" s="476" t="s">
        <v>196</v>
      </c>
      <c r="B65" s="477">
        <f t="shared" ref="B65:G65" si="55">ROUND($B135/$B$2*B$35*0.6,0)</f>
        <v>3</v>
      </c>
      <c r="C65" s="477">
        <f t="shared" si="55"/>
        <v>3</v>
      </c>
      <c r="D65" s="477">
        <f t="shared" si="55"/>
        <v>3</v>
      </c>
      <c r="E65" s="477">
        <f t="shared" si="55"/>
        <v>3</v>
      </c>
      <c r="F65" s="477">
        <f t="shared" si="55"/>
        <v>4</v>
      </c>
      <c r="G65" s="477">
        <f t="shared" si="55"/>
        <v>4</v>
      </c>
      <c r="H65" s="477">
        <f>ROUND($B135/$B$2*H$35,0)</f>
        <v>6</v>
      </c>
      <c r="I65" s="477">
        <f>ROUND($B135/$B$2*I$35,0)</f>
        <v>6</v>
      </c>
      <c r="J65" s="477">
        <f>ROUND($B135/$B$2*J$35,0)</f>
        <v>6</v>
      </c>
      <c r="K65" s="477">
        <f>ROUND($B135/$B$2*K$35*0.8,0)</f>
        <v>6</v>
      </c>
      <c r="L65" s="477">
        <f>ROUND($B135/$B$2*L$35*0.8,0)</f>
        <v>6</v>
      </c>
      <c r="M65" s="477">
        <f>ROUND($B135/$B$2*M$35*0.8,0)</f>
        <v>6</v>
      </c>
      <c r="N65" s="477">
        <f t="shared" ref="N65:Y65" si="56">ROUND($B135/$B$2*N$35,0)</f>
        <v>8</v>
      </c>
      <c r="O65" s="477">
        <f t="shared" si="56"/>
        <v>8</v>
      </c>
      <c r="P65" s="477">
        <f t="shared" si="56"/>
        <v>8</v>
      </c>
      <c r="Q65" s="477">
        <f t="shared" si="56"/>
        <v>8</v>
      </c>
      <c r="R65" s="477">
        <f t="shared" si="56"/>
        <v>8</v>
      </c>
      <c r="S65" s="477">
        <f t="shared" si="56"/>
        <v>8</v>
      </c>
      <c r="T65" s="477">
        <f t="shared" si="56"/>
        <v>8</v>
      </c>
      <c r="U65" s="477">
        <f t="shared" si="56"/>
        <v>8</v>
      </c>
      <c r="V65" s="477">
        <f t="shared" si="56"/>
        <v>8</v>
      </c>
      <c r="W65" s="477">
        <f t="shared" si="56"/>
        <v>8</v>
      </c>
      <c r="X65" s="477">
        <f t="shared" si="56"/>
        <v>8</v>
      </c>
      <c r="Y65" s="336">
        <f t="shared" si="56"/>
        <v>8</v>
      </c>
      <c r="Z65" s="474">
        <v>3</v>
      </c>
      <c r="AA65" s="92">
        <v>50</v>
      </c>
      <c r="AB65" s="107"/>
      <c r="AC65" s="7"/>
      <c r="AD65" s="7"/>
      <c r="AE65" s="7"/>
      <c r="AF65" s="7"/>
    </row>
    <row r="66" spans="1:46" s="11" customFormat="1" ht="12" x14ac:dyDescent="0.2">
      <c r="A66" s="38" t="s">
        <v>197</v>
      </c>
      <c r="B66" s="69">
        <f>IF(SUM(B54,B56,B58,B60,B62,B64)=0,B49*2,SUM(B54,B56,B58,B60,B62,B64))</f>
        <v>16</v>
      </c>
      <c r="C66" s="69">
        <f t="shared" ref="C66:Y67" si="57">IF(SUM(C54,C56,C58,C60,C62,C64)=0,C49*2,SUM(C54,C56,C58,C60,C62,C64))</f>
        <v>16</v>
      </c>
      <c r="D66" s="69">
        <f t="shared" si="57"/>
        <v>16</v>
      </c>
      <c r="E66" s="69">
        <f t="shared" si="57"/>
        <v>16</v>
      </c>
      <c r="F66" s="69">
        <f t="shared" si="57"/>
        <v>29</v>
      </c>
      <c r="G66" s="69">
        <f t="shared" si="57"/>
        <v>29</v>
      </c>
      <c r="H66" s="69">
        <f t="shared" si="57"/>
        <v>46</v>
      </c>
      <c r="I66" s="69">
        <f t="shared" si="57"/>
        <v>46</v>
      </c>
      <c r="J66" s="69">
        <f t="shared" si="57"/>
        <v>46</v>
      </c>
      <c r="K66" s="69">
        <f t="shared" si="57"/>
        <v>46</v>
      </c>
      <c r="L66" s="69">
        <f t="shared" si="57"/>
        <v>46</v>
      </c>
      <c r="M66" s="69">
        <f t="shared" si="57"/>
        <v>46</v>
      </c>
      <c r="N66" s="69">
        <f t="shared" si="57"/>
        <v>69</v>
      </c>
      <c r="O66" s="69">
        <f t="shared" si="57"/>
        <v>69</v>
      </c>
      <c r="P66" s="69">
        <f t="shared" si="57"/>
        <v>69</v>
      </c>
      <c r="Q66" s="69">
        <f t="shared" si="57"/>
        <v>69</v>
      </c>
      <c r="R66" s="69">
        <f t="shared" si="57"/>
        <v>69</v>
      </c>
      <c r="S66" s="69">
        <f t="shared" si="57"/>
        <v>69</v>
      </c>
      <c r="T66" s="69">
        <f t="shared" si="57"/>
        <v>69</v>
      </c>
      <c r="U66" s="69">
        <f t="shared" si="57"/>
        <v>69</v>
      </c>
      <c r="V66" s="69">
        <f t="shared" si="57"/>
        <v>69</v>
      </c>
      <c r="W66" s="69">
        <f t="shared" si="57"/>
        <v>69</v>
      </c>
      <c r="X66" s="69">
        <f t="shared" si="57"/>
        <v>69</v>
      </c>
      <c r="Y66" s="352">
        <f t="shared" si="57"/>
        <v>69</v>
      </c>
      <c r="Z66" s="467">
        <f>IF(SUM(Z54,Z56,Z58,Z60,Z62,Z64)=0,Z49*2,SUM(Z54,Z56,Z58,Z60,Z62,Z64))</f>
        <v>16</v>
      </c>
      <c r="AA66" s="90">
        <v>51</v>
      </c>
      <c r="AB66" s="20"/>
      <c r="AC66" s="7"/>
      <c r="AD66" s="7"/>
      <c r="AE66" s="7"/>
      <c r="AF66" s="7"/>
    </row>
    <row r="67" spans="1:46" s="11" customFormat="1" thickBot="1" x14ac:dyDescent="0.25">
      <c r="A67" s="476" t="s">
        <v>198</v>
      </c>
      <c r="B67" s="478">
        <f>IF(SUM(B55,B57,B59,B61,B63,B65)=0,B50*2,SUM(B55,B57,B59,B61,B63,B65))</f>
        <v>11</v>
      </c>
      <c r="C67" s="478">
        <f t="shared" si="57"/>
        <v>11</v>
      </c>
      <c r="D67" s="478">
        <f t="shared" si="57"/>
        <v>11</v>
      </c>
      <c r="E67" s="478">
        <f t="shared" si="57"/>
        <v>11</v>
      </c>
      <c r="F67" s="478">
        <f t="shared" si="57"/>
        <v>23</v>
      </c>
      <c r="G67" s="478">
        <f t="shared" si="57"/>
        <v>23</v>
      </c>
      <c r="H67" s="478">
        <f t="shared" si="57"/>
        <v>34</v>
      </c>
      <c r="I67" s="478">
        <f t="shared" si="57"/>
        <v>34</v>
      </c>
      <c r="J67" s="478">
        <f t="shared" si="57"/>
        <v>34</v>
      </c>
      <c r="K67" s="478">
        <f t="shared" si="57"/>
        <v>34</v>
      </c>
      <c r="L67" s="478">
        <f t="shared" si="57"/>
        <v>34</v>
      </c>
      <c r="M67" s="478">
        <f t="shared" si="57"/>
        <v>34</v>
      </c>
      <c r="N67" s="478">
        <f t="shared" si="57"/>
        <v>45</v>
      </c>
      <c r="O67" s="478">
        <f t="shared" si="57"/>
        <v>45</v>
      </c>
      <c r="P67" s="478">
        <f t="shared" si="57"/>
        <v>45</v>
      </c>
      <c r="Q67" s="478">
        <f t="shared" si="57"/>
        <v>45</v>
      </c>
      <c r="R67" s="478">
        <f t="shared" si="57"/>
        <v>45</v>
      </c>
      <c r="S67" s="478">
        <f t="shared" si="57"/>
        <v>45</v>
      </c>
      <c r="T67" s="478">
        <f t="shared" si="57"/>
        <v>45</v>
      </c>
      <c r="U67" s="478">
        <f t="shared" si="57"/>
        <v>45</v>
      </c>
      <c r="V67" s="478">
        <f t="shared" si="57"/>
        <v>45</v>
      </c>
      <c r="W67" s="478">
        <f t="shared" si="57"/>
        <v>45</v>
      </c>
      <c r="X67" s="478">
        <f t="shared" si="57"/>
        <v>45</v>
      </c>
      <c r="Y67" s="338">
        <f t="shared" si="57"/>
        <v>45</v>
      </c>
      <c r="Z67" s="467">
        <f>IF(SUM(Z55,Z57,Z59,Z61,Z63,Z65)=0,Z50*2,SUM(Z55,Z57,Z59,Z61,Z63,Z65))</f>
        <v>12</v>
      </c>
      <c r="AA67" s="92">
        <v>52</v>
      </c>
      <c r="AB67" s="20"/>
      <c r="AC67" s="7"/>
      <c r="AD67" s="18"/>
      <c r="AE67" s="18"/>
      <c r="AF67" s="7"/>
    </row>
    <row r="68" spans="1:46" s="11" customFormat="1" x14ac:dyDescent="0.2">
      <c r="A68" s="439" t="s">
        <v>199</v>
      </c>
      <c r="B68" s="62"/>
      <c r="C68" s="63"/>
      <c r="D68" s="63"/>
      <c r="E68" s="63"/>
      <c r="F68" s="63"/>
      <c r="G68" s="63"/>
      <c r="H68" s="63"/>
      <c r="I68" s="63"/>
      <c r="J68" s="63"/>
      <c r="K68" s="63"/>
      <c r="L68" s="63"/>
      <c r="M68" s="63"/>
      <c r="N68" s="63"/>
      <c r="O68" s="63"/>
      <c r="P68" s="63"/>
      <c r="Q68" s="63"/>
      <c r="R68" s="63"/>
      <c r="S68" s="63"/>
      <c r="T68" s="63"/>
      <c r="U68" s="63"/>
      <c r="V68" s="63"/>
      <c r="W68" s="63"/>
      <c r="X68" s="63"/>
      <c r="Y68" s="63"/>
      <c r="Z68" s="559"/>
      <c r="AA68" s="90">
        <v>53</v>
      </c>
      <c r="AB68" s="7"/>
      <c r="AC68" s="18"/>
      <c r="AD68" s="18"/>
      <c r="AE68" s="18"/>
      <c r="AF68" s="18"/>
    </row>
    <row r="69" spans="1:46" s="11" customFormat="1" ht="12" x14ac:dyDescent="0.2">
      <c r="A69" s="421" t="str">
        <f t="shared" ref="A69:A80" si="58">A105</f>
        <v>Pilot Upper Limit</v>
      </c>
      <c r="B69" s="17">
        <f t="shared" ref="B69:Z69" si="59">$B$105</f>
        <v>9</v>
      </c>
      <c r="C69" s="17">
        <f t="shared" si="59"/>
        <v>9</v>
      </c>
      <c r="D69" s="17">
        <f t="shared" si="59"/>
        <v>9</v>
      </c>
      <c r="E69" s="17">
        <f t="shared" si="59"/>
        <v>9</v>
      </c>
      <c r="F69" s="17">
        <f t="shared" si="59"/>
        <v>9</v>
      </c>
      <c r="G69" s="17">
        <f t="shared" si="59"/>
        <v>9</v>
      </c>
      <c r="H69" s="17">
        <f t="shared" si="59"/>
        <v>9</v>
      </c>
      <c r="I69" s="17">
        <f t="shared" si="59"/>
        <v>9</v>
      </c>
      <c r="J69" s="17">
        <f t="shared" si="59"/>
        <v>9</v>
      </c>
      <c r="K69" s="17">
        <f t="shared" si="59"/>
        <v>9</v>
      </c>
      <c r="L69" s="17">
        <f t="shared" si="59"/>
        <v>9</v>
      </c>
      <c r="M69" s="17">
        <f t="shared" si="59"/>
        <v>9</v>
      </c>
      <c r="N69" s="17">
        <f t="shared" si="59"/>
        <v>9</v>
      </c>
      <c r="O69" s="17">
        <f t="shared" si="59"/>
        <v>9</v>
      </c>
      <c r="P69" s="17">
        <f t="shared" si="59"/>
        <v>9</v>
      </c>
      <c r="Q69" s="17">
        <f t="shared" si="59"/>
        <v>9</v>
      </c>
      <c r="R69" s="17">
        <f t="shared" si="59"/>
        <v>9</v>
      </c>
      <c r="S69" s="17">
        <f t="shared" si="59"/>
        <v>9</v>
      </c>
      <c r="T69" s="17">
        <f t="shared" si="59"/>
        <v>9</v>
      </c>
      <c r="U69" s="17">
        <f t="shared" si="59"/>
        <v>9</v>
      </c>
      <c r="V69" s="17">
        <f t="shared" si="59"/>
        <v>9</v>
      </c>
      <c r="W69" s="17">
        <f t="shared" si="59"/>
        <v>9</v>
      </c>
      <c r="X69" s="17">
        <f t="shared" si="59"/>
        <v>9</v>
      </c>
      <c r="Y69" s="330">
        <f t="shared" si="59"/>
        <v>9</v>
      </c>
      <c r="Z69" s="546">
        <f t="shared" si="59"/>
        <v>9</v>
      </c>
      <c r="AA69" s="92">
        <v>54</v>
      </c>
      <c r="AB69" s="7"/>
      <c r="AC69" s="18"/>
      <c r="AD69" s="18"/>
      <c r="AE69" s="18"/>
      <c r="AF69" s="18"/>
    </row>
    <row r="70" spans="1:46" s="11" customFormat="1" ht="12" x14ac:dyDescent="0.2">
      <c r="A70" s="427" t="str">
        <f t="shared" si="58"/>
        <v>Pilot Lower Limit</v>
      </c>
      <c r="B70" s="481">
        <v>3</v>
      </c>
      <c r="C70" s="481">
        <v>3</v>
      </c>
      <c r="D70" s="481">
        <f>IF(D$96&lt;60,4,5)</f>
        <v>4</v>
      </c>
      <c r="E70" s="481">
        <f t="shared" ref="E70:Z72" si="60">IF(E$96&lt;60,4,5)</f>
        <v>4</v>
      </c>
      <c r="F70" s="481">
        <f t="shared" si="60"/>
        <v>4</v>
      </c>
      <c r="G70" s="481">
        <f t="shared" si="60"/>
        <v>4</v>
      </c>
      <c r="H70" s="481">
        <f t="shared" si="60"/>
        <v>4</v>
      </c>
      <c r="I70" s="481">
        <f t="shared" si="60"/>
        <v>4</v>
      </c>
      <c r="J70" s="481">
        <f t="shared" si="60"/>
        <v>4</v>
      </c>
      <c r="K70" s="481">
        <f t="shared" si="60"/>
        <v>5</v>
      </c>
      <c r="L70" s="481">
        <f t="shared" si="60"/>
        <v>5</v>
      </c>
      <c r="M70" s="481">
        <f t="shared" si="60"/>
        <v>5</v>
      </c>
      <c r="N70" s="481">
        <f t="shared" si="60"/>
        <v>5</v>
      </c>
      <c r="O70" s="481">
        <f t="shared" si="60"/>
        <v>5</v>
      </c>
      <c r="P70" s="481">
        <f t="shared" si="60"/>
        <v>5</v>
      </c>
      <c r="Q70" s="481">
        <f t="shared" si="60"/>
        <v>5</v>
      </c>
      <c r="R70" s="481">
        <f t="shared" si="60"/>
        <v>5</v>
      </c>
      <c r="S70" s="481">
        <f t="shared" si="60"/>
        <v>5</v>
      </c>
      <c r="T70" s="481">
        <f t="shared" si="60"/>
        <v>5</v>
      </c>
      <c r="U70" s="481">
        <f t="shared" si="60"/>
        <v>5</v>
      </c>
      <c r="V70" s="481">
        <f t="shared" si="60"/>
        <v>5</v>
      </c>
      <c r="W70" s="481">
        <f t="shared" si="60"/>
        <v>5</v>
      </c>
      <c r="X70" s="481">
        <f t="shared" si="60"/>
        <v>5</v>
      </c>
      <c r="Y70" s="479">
        <f t="shared" si="60"/>
        <v>5</v>
      </c>
      <c r="Z70" s="481">
        <f t="shared" si="60"/>
        <v>4</v>
      </c>
      <c r="AA70" s="90">
        <v>55</v>
      </c>
      <c r="AB70" s="7"/>
      <c r="AC70" s="18"/>
      <c r="AD70" s="18"/>
      <c r="AE70" s="18"/>
      <c r="AF70" s="18"/>
    </row>
    <row r="71" spans="1:46" s="11" customFormat="1" ht="12" x14ac:dyDescent="0.2">
      <c r="A71" s="421" t="str">
        <f t="shared" si="58"/>
        <v>NFO Upper Limit</v>
      </c>
      <c r="B71" s="482">
        <f>B69</f>
        <v>9</v>
      </c>
      <c r="C71" s="482">
        <f t="shared" ref="C71:Z71" si="61">C69</f>
        <v>9</v>
      </c>
      <c r="D71" s="482">
        <f t="shared" si="61"/>
        <v>9</v>
      </c>
      <c r="E71" s="482">
        <f t="shared" si="61"/>
        <v>9</v>
      </c>
      <c r="F71" s="482">
        <f t="shared" si="61"/>
        <v>9</v>
      </c>
      <c r="G71" s="482">
        <f t="shared" si="61"/>
        <v>9</v>
      </c>
      <c r="H71" s="482">
        <f t="shared" si="61"/>
        <v>9</v>
      </c>
      <c r="I71" s="482">
        <f t="shared" si="61"/>
        <v>9</v>
      </c>
      <c r="J71" s="482">
        <f t="shared" si="61"/>
        <v>9</v>
      </c>
      <c r="K71" s="482">
        <f t="shared" si="61"/>
        <v>9</v>
      </c>
      <c r="L71" s="482">
        <f t="shared" si="61"/>
        <v>9</v>
      </c>
      <c r="M71" s="482">
        <f t="shared" si="61"/>
        <v>9</v>
      </c>
      <c r="N71" s="482">
        <f t="shared" si="61"/>
        <v>9</v>
      </c>
      <c r="O71" s="482">
        <f t="shared" si="61"/>
        <v>9</v>
      </c>
      <c r="P71" s="482">
        <f t="shared" si="61"/>
        <v>9</v>
      </c>
      <c r="Q71" s="482">
        <f t="shared" si="61"/>
        <v>9</v>
      </c>
      <c r="R71" s="482">
        <f t="shared" si="61"/>
        <v>9</v>
      </c>
      <c r="S71" s="482">
        <f t="shared" si="61"/>
        <v>9</v>
      </c>
      <c r="T71" s="482">
        <f t="shared" si="61"/>
        <v>9</v>
      </c>
      <c r="U71" s="482">
        <f t="shared" si="61"/>
        <v>9</v>
      </c>
      <c r="V71" s="482">
        <f t="shared" si="61"/>
        <v>9</v>
      </c>
      <c r="W71" s="482">
        <f t="shared" si="61"/>
        <v>9</v>
      </c>
      <c r="X71" s="482">
        <f t="shared" si="61"/>
        <v>9</v>
      </c>
      <c r="Y71" s="483">
        <f t="shared" si="61"/>
        <v>9</v>
      </c>
      <c r="Z71" s="482">
        <f t="shared" si="61"/>
        <v>9</v>
      </c>
      <c r="AA71" s="92">
        <v>56</v>
      </c>
      <c r="AB71" s="7"/>
      <c r="AC71" s="18"/>
      <c r="AD71" s="18"/>
      <c r="AE71" s="18"/>
      <c r="AF71" s="18"/>
    </row>
    <row r="72" spans="1:46" s="11" customFormat="1" ht="12" x14ac:dyDescent="0.2">
      <c r="A72" s="427" t="str">
        <f t="shared" si="58"/>
        <v>NFO Lower Limit</v>
      </c>
      <c r="B72" s="481">
        <v>3</v>
      </c>
      <c r="C72" s="481">
        <v>3</v>
      </c>
      <c r="D72" s="481">
        <f>IF(D$96&lt;60,4,5)</f>
        <v>4</v>
      </c>
      <c r="E72" s="481">
        <f t="shared" si="60"/>
        <v>4</v>
      </c>
      <c r="F72" s="481">
        <f t="shared" si="60"/>
        <v>4</v>
      </c>
      <c r="G72" s="481">
        <f t="shared" si="60"/>
        <v>4</v>
      </c>
      <c r="H72" s="481">
        <f t="shared" si="60"/>
        <v>4</v>
      </c>
      <c r="I72" s="481">
        <f t="shared" si="60"/>
        <v>4</v>
      </c>
      <c r="J72" s="481">
        <f t="shared" si="60"/>
        <v>4</v>
      </c>
      <c r="K72" s="481">
        <f t="shared" si="60"/>
        <v>5</v>
      </c>
      <c r="L72" s="481">
        <f t="shared" si="60"/>
        <v>5</v>
      </c>
      <c r="M72" s="481">
        <f t="shared" si="60"/>
        <v>5</v>
      </c>
      <c r="N72" s="481">
        <f t="shared" si="60"/>
        <v>5</v>
      </c>
      <c r="O72" s="481">
        <f t="shared" si="60"/>
        <v>5</v>
      </c>
      <c r="P72" s="481">
        <f t="shared" si="60"/>
        <v>5</v>
      </c>
      <c r="Q72" s="481">
        <f t="shared" si="60"/>
        <v>5</v>
      </c>
      <c r="R72" s="481">
        <f t="shared" si="60"/>
        <v>5</v>
      </c>
      <c r="S72" s="481">
        <f t="shared" si="60"/>
        <v>5</v>
      </c>
      <c r="T72" s="481">
        <f t="shared" si="60"/>
        <v>5</v>
      </c>
      <c r="U72" s="481">
        <f t="shared" si="60"/>
        <v>5</v>
      </c>
      <c r="V72" s="481">
        <f t="shared" si="60"/>
        <v>5</v>
      </c>
      <c r="W72" s="481">
        <f t="shared" si="60"/>
        <v>5</v>
      </c>
      <c r="X72" s="481">
        <f t="shared" si="60"/>
        <v>5</v>
      </c>
      <c r="Y72" s="479">
        <f t="shared" si="60"/>
        <v>5</v>
      </c>
      <c r="Z72" s="481">
        <f t="shared" si="60"/>
        <v>4</v>
      </c>
      <c r="AA72" s="90">
        <v>57</v>
      </c>
      <c r="AB72" s="18"/>
      <c r="AC72" s="18"/>
      <c r="AD72" s="7"/>
      <c r="AE72" s="7"/>
      <c r="AF72" s="18"/>
    </row>
    <row r="73" spans="1:46" s="11" customFormat="1" ht="12" x14ac:dyDescent="0.2">
      <c r="A73" s="427" t="str">
        <f t="shared" si="58"/>
        <v>ACTC Level 5</v>
      </c>
      <c r="B73" s="481" t="s">
        <v>200</v>
      </c>
      <c r="C73" s="481" t="s">
        <v>200</v>
      </c>
      <c r="D73" s="481" t="s">
        <v>200</v>
      </c>
      <c r="E73" s="481" t="s">
        <v>200</v>
      </c>
      <c r="F73" s="481" t="s">
        <v>200</v>
      </c>
      <c r="G73" s="481" t="s">
        <v>200</v>
      </c>
      <c r="H73" s="481" t="s">
        <v>200</v>
      </c>
      <c r="I73" s="481" t="s">
        <v>200</v>
      </c>
      <c r="J73" s="481" t="s">
        <v>200</v>
      </c>
      <c r="K73" s="481" t="s">
        <v>200</v>
      </c>
      <c r="L73" s="481" t="s">
        <v>200</v>
      </c>
      <c r="M73" s="481" t="s">
        <v>200</v>
      </c>
      <c r="N73" s="481" t="s">
        <v>200</v>
      </c>
      <c r="O73" s="481" t="s">
        <v>200</v>
      </c>
      <c r="P73" s="481" t="s">
        <v>200</v>
      </c>
      <c r="Q73" s="481" t="s">
        <v>200</v>
      </c>
      <c r="R73" s="481" t="s">
        <v>200</v>
      </c>
      <c r="S73" s="481" t="s">
        <v>200</v>
      </c>
      <c r="T73" s="481" t="s">
        <v>200</v>
      </c>
      <c r="U73" s="481" t="s">
        <v>200</v>
      </c>
      <c r="V73" s="481" t="s">
        <v>200</v>
      </c>
      <c r="W73" s="481" t="s">
        <v>200</v>
      </c>
      <c r="X73" s="481" t="s">
        <v>200</v>
      </c>
      <c r="Y73" s="479" t="s">
        <v>200</v>
      </c>
      <c r="Z73" s="481" t="s">
        <v>200</v>
      </c>
      <c r="AA73" s="92">
        <v>58</v>
      </c>
      <c r="AB73" s="18"/>
      <c r="AC73" s="7"/>
      <c r="AD73" s="7"/>
      <c r="AE73" s="7"/>
      <c r="AF73" s="7"/>
    </row>
    <row r="74" spans="1:46" s="11" customFormat="1" ht="12" x14ac:dyDescent="0.2">
      <c r="A74" s="427" t="str">
        <f t="shared" si="58"/>
        <v>&gt;= ACTC Level 4</v>
      </c>
      <c r="B74" s="481">
        <f t="shared" ref="B74:P74" si="62">ROUNDUP(IF(B$13="Deploy",MAX((B$99/100)*$B110,$B110),(B$99/100)*$B110),0)</f>
        <v>3</v>
      </c>
      <c r="C74" s="481">
        <f t="shared" si="62"/>
        <v>2</v>
      </c>
      <c r="D74" s="481">
        <f t="shared" si="62"/>
        <v>2</v>
      </c>
      <c r="E74" s="481">
        <f t="shared" si="62"/>
        <v>2</v>
      </c>
      <c r="F74" s="481">
        <f t="shared" si="62"/>
        <v>2</v>
      </c>
      <c r="G74" s="481">
        <f t="shared" si="62"/>
        <v>3</v>
      </c>
      <c r="H74" s="481">
        <f t="shared" si="62"/>
        <v>3</v>
      </c>
      <c r="I74" s="481">
        <f t="shared" si="62"/>
        <v>3</v>
      </c>
      <c r="J74" s="481">
        <f t="shared" si="62"/>
        <v>3</v>
      </c>
      <c r="K74" s="481">
        <f t="shared" si="62"/>
        <v>3</v>
      </c>
      <c r="L74" s="481">
        <f t="shared" si="62"/>
        <v>4</v>
      </c>
      <c r="M74" s="481">
        <f t="shared" si="62"/>
        <v>4</v>
      </c>
      <c r="N74" s="481">
        <f t="shared" si="62"/>
        <v>4</v>
      </c>
      <c r="O74" s="481">
        <f t="shared" si="62"/>
        <v>4</v>
      </c>
      <c r="P74" s="481">
        <f t="shared" si="62"/>
        <v>4</v>
      </c>
      <c r="Q74" s="481">
        <f t="shared" ref="Q74:R76" si="63">ROUNDUP(IF(X$13="Deploy",MAX((Q$99/100)*$B110,$B110),(Q$99/100)*$B110),0)</f>
        <v>4</v>
      </c>
      <c r="R74" s="481">
        <f t="shared" si="63"/>
        <v>4</v>
      </c>
      <c r="S74" s="481">
        <f>ROUNDUP(IF(W$13="Deploy",MAX((S$99/100)*$B110,$B110),(S$99/100)*$B110),0)</f>
        <v>4</v>
      </c>
      <c r="T74" s="481">
        <f t="shared" ref="T74:Y76" si="64">ROUNDUP(IF(Q$13="Deploy",MAX((T$99/100)*$B110,$B110),(T$99/100)*$B110),0)</f>
        <v>5</v>
      </c>
      <c r="U74" s="481">
        <f t="shared" si="64"/>
        <v>5</v>
      </c>
      <c r="V74" s="481">
        <f t="shared" si="64"/>
        <v>5</v>
      </c>
      <c r="W74" s="481">
        <f t="shared" si="64"/>
        <v>5</v>
      </c>
      <c r="X74" s="481">
        <f t="shared" si="64"/>
        <v>5</v>
      </c>
      <c r="Y74" s="479">
        <f t="shared" si="64"/>
        <v>5</v>
      </c>
      <c r="Z74" s="481">
        <f>ROUNDUP(IF(Z$13="Deploy",MAX((Z$99/100)*$B110,$B110),(Z$99/100)*$B110),0)</f>
        <v>2</v>
      </c>
      <c r="AA74" s="90">
        <v>59</v>
      </c>
      <c r="AB74" s="18"/>
      <c r="AC74" s="7"/>
      <c r="AD74" s="18"/>
      <c r="AE74" s="18"/>
      <c r="AF74" s="7"/>
    </row>
    <row r="75" spans="1:46" s="11" customFormat="1" ht="12" x14ac:dyDescent="0.2">
      <c r="A75" s="427" t="str">
        <f t="shared" si="58"/>
        <v>&gt;= ACTC Level 3</v>
      </c>
      <c r="B75" s="481">
        <f t="shared" ref="B75:P75" si="65">ROUNDUP(IF(B$13="Deploy",MAX((B$99/100)*$B111,$B111),(B$99/100)*$B111),0)</f>
        <v>5</v>
      </c>
      <c r="C75" s="481">
        <f t="shared" si="65"/>
        <v>3</v>
      </c>
      <c r="D75" s="481">
        <f t="shared" si="65"/>
        <v>3</v>
      </c>
      <c r="E75" s="481">
        <f t="shared" si="65"/>
        <v>3</v>
      </c>
      <c r="F75" s="481">
        <f t="shared" si="65"/>
        <v>3</v>
      </c>
      <c r="G75" s="481">
        <f t="shared" si="65"/>
        <v>4</v>
      </c>
      <c r="H75" s="481">
        <f t="shared" si="65"/>
        <v>4</v>
      </c>
      <c r="I75" s="481">
        <f t="shared" si="65"/>
        <v>4</v>
      </c>
      <c r="J75" s="481">
        <f t="shared" si="65"/>
        <v>4</v>
      </c>
      <c r="K75" s="481">
        <f t="shared" si="65"/>
        <v>6</v>
      </c>
      <c r="L75" s="481">
        <f t="shared" si="65"/>
        <v>6</v>
      </c>
      <c r="M75" s="481">
        <f t="shared" si="65"/>
        <v>7</v>
      </c>
      <c r="N75" s="481">
        <f t="shared" si="65"/>
        <v>7</v>
      </c>
      <c r="O75" s="481">
        <f t="shared" si="65"/>
        <v>7</v>
      </c>
      <c r="P75" s="481">
        <f t="shared" si="65"/>
        <v>7</v>
      </c>
      <c r="Q75" s="481">
        <f t="shared" si="63"/>
        <v>7</v>
      </c>
      <c r="R75" s="481">
        <f t="shared" si="63"/>
        <v>7</v>
      </c>
      <c r="S75" s="481">
        <f>ROUNDUP(IF(W$13="Deploy",MAX((S$99/100)*$B111,$B111),(S$99/100)*$B111),0)</f>
        <v>7</v>
      </c>
      <c r="T75" s="481">
        <f t="shared" si="64"/>
        <v>9</v>
      </c>
      <c r="U75" s="481">
        <f t="shared" si="64"/>
        <v>9</v>
      </c>
      <c r="V75" s="481">
        <f t="shared" si="64"/>
        <v>9</v>
      </c>
      <c r="W75" s="481">
        <f t="shared" si="64"/>
        <v>9</v>
      </c>
      <c r="X75" s="481">
        <f t="shared" si="64"/>
        <v>9</v>
      </c>
      <c r="Y75" s="479">
        <f t="shared" si="64"/>
        <v>9</v>
      </c>
      <c r="Z75" s="481">
        <f>ROUNDUP(IF(Z$13="Deploy",MAX((Z$99/100)*$B111,$B111),(Z$99/100)*$B111),0)</f>
        <v>4</v>
      </c>
      <c r="AA75" s="92">
        <v>60</v>
      </c>
      <c r="AB75" s="18"/>
      <c r="AC75" s="18"/>
      <c r="AD75" s="18"/>
      <c r="AE75" s="18"/>
      <c r="AF75" s="18"/>
    </row>
    <row r="76" spans="1:46" s="11" customFormat="1" ht="12" x14ac:dyDescent="0.2">
      <c r="A76" s="427" t="str">
        <f t="shared" si="58"/>
        <v>&gt;= ACTC Level 2</v>
      </c>
      <c r="B76" s="481">
        <f t="shared" ref="B76:P76" si="66">ROUNDUP(IF(B$13="Deploy",MAX((B$99/100)*$B112,$B112),(B$99/100)*$B112),0)</f>
        <v>8</v>
      </c>
      <c r="C76" s="481">
        <f t="shared" si="66"/>
        <v>5</v>
      </c>
      <c r="D76" s="481">
        <f t="shared" si="66"/>
        <v>5</v>
      </c>
      <c r="E76" s="481">
        <f t="shared" si="66"/>
        <v>5</v>
      </c>
      <c r="F76" s="481">
        <f t="shared" si="66"/>
        <v>5</v>
      </c>
      <c r="G76" s="481">
        <f t="shared" si="66"/>
        <v>6</v>
      </c>
      <c r="H76" s="481">
        <f t="shared" si="66"/>
        <v>6</v>
      </c>
      <c r="I76" s="481">
        <f t="shared" si="66"/>
        <v>6</v>
      </c>
      <c r="J76" s="481">
        <f t="shared" si="66"/>
        <v>7</v>
      </c>
      <c r="K76" s="481">
        <f t="shared" si="66"/>
        <v>9</v>
      </c>
      <c r="L76" s="481">
        <f t="shared" si="66"/>
        <v>9</v>
      </c>
      <c r="M76" s="481">
        <f t="shared" si="66"/>
        <v>10</v>
      </c>
      <c r="N76" s="481">
        <f t="shared" si="66"/>
        <v>10</v>
      </c>
      <c r="O76" s="481">
        <f t="shared" si="66"/>
        <v>10</v>
      </c>
      <c r="P76" s="481">
        <f t="shared" si="66"/>
        <v>10</v>
      </c>
      <c r="Q76" s="481">
        <f t="shared" si="63"/>
        <v>10</v>
      </c>
      <c r="R76" s="481">
        <f t="shared" si="63"/>
        <v>10</v>
      </c>
      <c r="S76" s="481">
        <f>ROUNDUP(IF(W$13="Deploy",MAX((S$99/100)*$B112,$B112),(S$99/100)*$B112),0)</f>
        <v>10</v>
      </c>
      <c r="T76" s="481">
        <f t="shared" si="64"/>
        <v>14</v>
      </c>
      <c r="U76" s="481">
        <f t="shared" si="64"/>
        <v>14</v>
      </c>
      <c r="V76" s="481">
        <f t="shared" si="64"/>
        <v>14</v>
      </c>
      <c r="W76" s="481">
        <f t="shared" si="64"/>
        <v>14</v>
      </c>
      <c r="X76" s="481">
        <f t="shared" si="64"/>
        <v>14</v>
      </c>
      <c r="Y76" s="479">
        <f t="shared" si="64"/>
        <v>14</v>
      </c>
      <c r="Z76" s="481">
        <f>ROUNDUP(IF(Z$13="Deploy",MAX((Z$99/100)*$B112,$B112),(Z$99/100)*$B112),0)</f>
        <v>6</v>
      </c>
      <c r="AA76" s="90">
        <v>61</v>
      </c>
      <c r="AB76" s="18"/>
      <c r="AC76" s="18"/>
      <c r="AD76" s="18"/>
      <c r="AE76" s="18"/>
      <c r="AF76" s="18"/>
    </row>
    <row r="77" spans="1:46" s="11" customFormat="1" ht="12" x14ac:dyDescent="0.2">
      <c r="A77" s="427" t="str">
        <f t="shared" si="58"/>
        <v>CVW STK Lead</v>
      </c>
      <c r="B77" s="481" t="str">
        <f t="shared" ref="B77:Z77" si="67">$B$113</f>
        <v>N/A</v>
      </c>
      <c r="C77" s="481" t="str">
        <f t="shared" si="67"/>
        <v>N/A</v>
      </c>
      <c r="D77" s="481" t="str">
        <f t="shared" si="67"/>
        <v>N/A</v>
      </c>
      <c r="E77" s="481" t="str">
        <f t="shared" si="67"/>
        <v>N/A</v>
      </c>
      <c r="F77" s="481" t="str">
        <f t="shared" si="67"/>
        <v>N/A</v>
      </c>
      <c r="G77" s="481" t="str">
        <f t="shared" si="67"/>
        <v>N/A</v>
      </c>
      <c r="H77" s="481" t="str">
        <f t="shared" si="67"/>
        <v>N/A</v>
      </c>
      <c r="I77" s="481" t="str">
        <f t="shared" si="67"/>
        <v>N/A</v>
      </c>
      <c r="J77" s="481" t="str">
        <f t="shared" si="67"/>
        <v>N/A</v>
      </c>
      <c r="K77" s="481" t="str">
        <f t="shared" si="67"/>
        <v>N/A</v>
      </c>
      <c r="L77" s="481" t="str">
        <f t="shared" si="67"/>
        <v>N/A</v>
      </c>
      <c r="M77" s="481" t="str">
        <f t="shared" si="67"/>
        <v>N/A</v>
      </c>
      <c r="N77" s="481" t="str">
        <f t="shared" si="67"/>
        <v>N/A</v>
      </c>
      <c r="O77" s="481" t="str">
        <f t="shared" si="67"/>
        <v>N/A</v>
      </c>
      <c r="P77" s="481" t="str">
        <f t="shared" si="67"/>
        <v>N/A</v>
      </c>
      <c r="Q77" s="481" t="str">
        <f t="shared" si="67"/>
        <v>N/A</v>
      </c>
      <c r="R77" s="481" t="str">
        <f t="shared" si="67"/>
        <v>N/A</v>
      </c>
      <c r="S77" s="481" t="str">
        <f t="shared" si="67"/>
        <v>N/A</v>
      </c>
      <c r="T77" s="481" t="str">
        <f t="shared" si="67"/>
        <v>N/A</v>
      </c>
      <c r="U77" s="481" t="str">
        <f t="shared" si="67"/>
        <v>N/A</v>
      </c>
      <c r="V77" s="481" t="str">
        <f t="shared" si="67"/>
        <v>N/A</v>
      </c>
      <c r="W77" s="481" t="str">
        <f t="shared" si="67"/>
        <v>N/A</v>
      </c>
      <c r="X77" s="481" t="str">
        <f t="shared" si="67"/>
        <v>N/A</v>
      </c>
      <c r="Y77" s="479" t="str">
        <f t="shared" si="67"/>
        <v>N/A</v>
      </c>
      <c r="Z77" s="481" t="str">
        <f t="shared" si="67"/>
        <v>N/A</v>
      </c>
      <c r="AA77" s="92">
        <v>62</v>
      </c>
      <c r="AB77" s="7"/>
      <c r="AC77" s="18"/>
      <c r="AD77" s="18"/>
      <c r="AE77" s="18"/>
      <c r="AF77" s="274"/>
      <c r="AG77" s="274"/>
      <c r="AH77" s="274"/>
      <c r="AI77" s="274"/>
      <c r="AJ77" s="274"/>
    </row>
    <row r="78" spans="1:46" s="263" customFormat="1" x14ac:dyDescent="0.2">
      <c r="A78" s="427" t="str">
        <f t="shared" si="58"/>
        <v>NVD Qualified Aircrew</v>
      </c>
      <c r="B78" s="481">
        <f t="shared" ref="B78:P78" si="68">ROUNDUP(IF(B$13="Deploy",MAX((B$99/100)*$B114,$B114),(B$99/100)*$B114),0)</f>
        <v>8</v>
      </c>
      <c r="C78" s="481">
        <f t="shared" si="68"/>
        <v>5</v>
      </c>
      <c r="D78" s="481">
        <f t="shared" si="68"/>
        <v>5</v>
      </c>
      <c r="E78" s="481">
        <f t="shared" si="68"/>
        <v>5</v>
      </c>
      <c r="F78" s="481">
        <f t="shared" si="68"/>
        <v>5</v>
      </c>
      <c r="G78" s="481">
        <f t="shared" si="68"/>
        <v>6</v>
      </c>
      <c r="H78" s="481">
        <f t="shared" si="68"/>
        <v>6</v>
      </c>
      <c r="I78" s="481">
        <f t="shared" si="68"/>
        <v>6</v>
      </c>
      <c r="J78" s="481">
        <f t="shared" si="68"/>
        <v>7</v>
      </c>
      <c r="K78" s="481">
        <f t="shared" si="68"/>
        <v>9</v>
      </c>
      <c r="L78" s="481">
        <f t="shared" si="68"/>
        <v>9</v>
      </c>
      <c r="M78" s="481">
        <f t="shared" si="68"/>
        <v>10</v>
      </c>
      <c r="N78" s="481">
        <f t="shared" si="68"/>
        <v>10</v>
      </c>
      <c r="O78" s="481">
        <f t="shared" si="68"/>
        <v>10</v>
      </c>
      <c r="P78" s="481">
        <f t="shared" si="68"/>
        <v>10</v>
      </c>
      <c r="Q78" s="481">
        <f t="shared" ref="Q78:R80" si="69">ROUNDUP(IF(X$13="Deploy",MAX((Q$99/100)*$B114,$B114),(Q$99/100)*$B114),0)</f>
        <v>10</v>
      </c>
      <c r="R78" s="481">
        <f t="shared" si="69"/>
        <v>10</v>
      </c>
      <c r="S78" s="481">
        <f>ROUNDUP(IF(W$13="Deploy",MAX((S$99/100)*$B114,$B114),(S$99/100)*$B114),0)</f>
        <v>10</v>
      </c>
      <c r="T78" s="481">
        <f t="shared" ref="T78:Y80" si="70">ROUNDUP(IF(Q$13="Deploy",MAX((T$99/100)*$B114,$B114),(T$99/100)*$B114),0)</f>
        <v>14</v>
      </c>
      <c r="U78" s="481">
        <f t="shared" si="70"/>
        <v>14</v>
      </c>
      <c r="V78" s="481">
        <f t="shared" si="70"/>
        <v>14</v>
      </c>
      <c r="W78" s="481">
        <f t="shared" si="70"/>
        <v>14</v>
      </c>
      <c r="X78" s="481">
        <f t="shared" si="70"/>
        <v>14</v>
      </c>
      <c r="Y78" s="479">
        <f t="shared" si="70"/>
        <v>14</v>
      </c>
      <c r="Z78" s="481">
        <f>ROUNDUP(IF(Z$13="Deploy",MAX((Z$99/100)*$B114,$B114),(Z$99/100)*$B114),0)</f>
        <v>6</v>
      </c>
      <c r="AA78" s="90">
        <v>63</v>
      </c>
      <c r="AB78" s="7"/>
      <c r="AC78" s="18"/>
      <c r="AD78" s="85"/>
      <c r="AE78" s="85"/>
      <c r="AF78" s="278"/>
      <c r="AG78" s="278"/>
      <c r="AH78" s="278"/>
      <c r="AI78" s="278"/>
      <c r="AJ78" s="278"/>
      <c r="AK78" s="274"/>
      <c r="AL78" s="274"/>
      <c r="AM78" s="274"/>
      <c r="AN78" s="274"/>
      <c r="AO78" s="274"/>
      <c r="AP78" s="274"/>
      <c r="AQ78" s="274"/>
      <c r="AR78" s="274"/>
      <c r="AS78" s="274"/>
      <c r="AT78" s="274"/>
    </row>
    <row r="79" spans="1:46" s="278" customFormat="1" x14ac:dyDescent="0.2">
      <c r="A79" s="427" t="str">
        <f t="shared" si="58"/>
        <v>JHMCS</v>
      </c>
      <c r="B79" s="481">
        <f t="shared" ref="B79:P79" si="71">ROUNDUP(IF(B$13="Deploy",MAX((B$99/100)*$B115,$B115),(B$99/100)*$B115),0)</f>
        <v>8</v>
      </c>
      <c r="C79" s="481">
        <f t="shared" si="71"/>
        <v>5</v>
      </c>
      <c r="D79" s="481">
        <f t="shared" si="71"/>
        <v>5</v>
      </c>
      <c r="E79" s="481">
        <f t="shared" si="71"/>
        <v>5</v>
      </c>
      <c r="F79" s="481">
        <f t="shared" si="71"/>
        <v>5</v>
      </c>
      <c r="G79" s="481">
        <f t="shared" si="71"/>
        <v>6</v>
      </c>
      <c r="H79" s="481">
        <f t="shared" si="71"/>
        <v>6</v>
      </c>
      <c r="I79" s="481">
        <f t="shared" si="71"/>
        <v>6</v>
      </c>
      <c r="J79" s="481">
        <f t="shared" si="71"/>
        <v>7</v>
      </c>
      <c r="K79" s="481">
        <f t="shared" si="71"/>
        <v>9</v>
      </c>
      <c r="L79" s="481">
        <f t="shared" si="71"/>
        <v>9</v>
      </c>
      <c r="M79" s="481">
        <f t="shared" si="71"/>
        <v>10</v>
      </c>
      <c r="N79" s="481">
        <f t="shared" si="71"/>
        <v>10</v>
      </c>
      <c r="O79" s="481">
        <f t="shared" si="71"/>
        <v>10</v>
      </c>
      <c r="P79" s="481">
        <f t="shared" si="71"/>
        <v>10</v>
      </c>
      <c r="Q79" s="481">
        <f t="shared" si="69"/>
        <v>10</v>
      </c>
      <c r="R79" s="481">
        <f t="shared" si="69"/>
        <v>10</v>
      </c>
      <c r="S79" s="481">
        <f>ROUNDUP(IF(W$13="Deploy",MAX((S$99/100)*$B115,$B115),(S$99/100)*$B115),0)</f>
        <v>10</v>
      </c>
      <c r="T79" s="481">
        <f t="shared" si="70"/>
        <v>14</v>
      </c>
      <c r="U79" s="481">
        <f t="shared" si="70"/>
        <v>14</v>
      </c>
      <c r="V79" s="481">
        <f t="shared" si="70"/>
        <v>14</v>
      </c>
      <c r="W79" s="481">
        <f t="shared" si="70"/>
        <v>14</v>
      </c>
      <c r="X79" s="481">
        <f t="shared" si="70"/>
        <v>14</v>
      </c>
      <c r="Y79" s="479">
        <f t="shared" si="70"/>
        <v>14</v>
      </c>
      <c r="Z79" s="481">
        <f>ROUNDUP(IF(Z$13="Deploy",MAX((Z$99/100)*$B115,$B115),(Z$99/100)*$B115),0)</f>
        <v>6</v>
      </c>
      <c r="AA79" s="92">
        <v>64</v>
      </c>
      <c r="AB79" s="18"/>
      <c r="AC79" s="85"/>
      <c r="AD79" s="274"/>
      <c r="AE79" s="274"/>
      <c r="AF79" s="274"/>
      <c r="AG79" s="274"/>
      <c r="AH79" s="274"/>
      <c r="AI79" s="274"/>
      <c r="AJ79" s="274"/>
    </row>
    <row r="80" spans="1:46" s="263" customFormat="1" ht="12" x14ac:dyDescent="0.2">
      <c r="A80" s="427" t="str">
        <f t="shared" si="58"/>
        <v>Required Skilled Crews</v>
      </c>
      <c r="B80" s="560">
        <f t="shared" ref="B80:P80" si="72">ROUNDUP(IF(B$13="Deploy",MAX((B$99/100)*$B116,$B116),(B$99/100)*$B116),0)</f>
        <v>5</v>
      </c>
      <c r="C80" s="560">
        <f t="shared" si="72"/>
        <v>3</v>
      </c>
      <c r="D80" s="560">
        <f t="shared" si="72"/>
        <v>3</v>
      </c>
      <c r="E80" s="560">
        <f t="shared" si="72"/>
        <v>3</v>
      </c>
      <c r="F80" s="560">
        <f t="shared" si="72"/>
        <v>3</v>
      </c>
      <c r="G80" s="560">
        <f t="shared" si="72"/>
        <v>4</v>
      </c>
      <c r="H80" s="560">
        <f t="shared" si="72"/>
        <v>4</v>
      </c>
      <c r="I80" s="560">
        <f t="shared" si="72"/>
        <v>4</v>
      </c>
      <c r="J80" s="560">
        <f t="shared" si="72"/>
        <v>4</v>
      </c>
      <c r="K80" s="560">
        <f t="shared" si="72"/>
        <v>5</v>
      </c>
      <c r="L80" s="560">
        <f t="shared" si="72"/>
        <v>5</v>
      </c>
      <c r="M80" s="560">
        <f t="shared" si="72"/>
        <v>6</v>
      </c>
      <c r="N80" s="560">
        <f t="shared" si="72"/>
        <v>6</v>
      </c>
      <c r="O80" s="560">
        <f t="shared" si="72"/>
        <v>6</v>
      </c>
      <c r="P80" s="560">
        <f t="shared" si="72"/>
        <v>6</v>
      </c>
      <c r="Q80" s="560">
        <f t="shared" si="69"/>
        <v>6</v>
      </c>
      <c r="R80" s="560">
        <f t="shared" si="69"/>
        <v>6</v>
      </c>
      <c r="S80" s="560">
        <f>ROUNDUP(IF(W$13="Deploy",MAX((S$99/100)*$B116,$B116),(S$99/100)*$B116),0)</f>
        <v>6</v>
      </c>
      <c r="T80" s="560">
        <f t="shared" si="70"/>
        <v>8</v>
      </c>
      <c r="U80" s="560">
        <f t="shared" si="70"/>
        <v>8</v>
      </c>
      <c r="V80" s="560">
        <f t="shared" si="70"/>
        <v>8</v>
      </c>
      <c r="W80" s="560">
        <f t="shared" si="70"/>
        <v>8</v>
      </c>
      <c r="X80" s="560">
        <f t="shared" si="70"/>
        <v>8</v>
      </c>
      <c r="Y80" s="353">
        <f t="shared" si="70"/>
        <v>8</v>
      </c>
      <c r="Z80" s="481">
        <f>ROUNDUP(IF(Z$13="Deploy",MAX((Z$99/100)*$B116,$B116),(Z$99/100)*$B116),0)</f>
        <v>3</v>
      </c>
      <c r="AA80" s="90">
        <v>65</v>
      </c>
      <c r="AB80" s="18"/>
      <c r="AC80" s="299"/>
      <c r="AD80" s="278"/>
      <c r="AE80" s="278"/>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295"/>
      <c r="Z81" s="486"/>
      <c r="AA81" s="299"/>
      <c r="AB81" s="299"/>
      <c r="AC81" s="300"/>
      <c r="AD81" s="274"/>
      <c r="AE81" s="274"/>
      <c r="AF81" s="278"/>
      <c r="AG81" s="278"/>
      <c r="AH81" s="278"/>
      <c r="AI81" s="278"/>
      <c r="AJ81" s="278"/>
      <c r="AK81" s="274"/>
      <c r="AL81" s="274"/>
      <c r="AM81" s="274"/>
      <c r="AN81" s="274"/>
      <c r="AO81" s="274"/>
      <c r="AP81" s="274"/>
      <c r="AQ81" s="274"/>
      <c r="AR81" s="274"/>
      <c r="AS81" s="274"/>
      <c r="AT81" s="274"/>
    </row>
    <row r="82" spans="1:46" s="278" customFormat="1" ht="12" x14ac:dyDescent="0.2">
      <c r="A82" s="427" t="s">
        <v>203</v>
      </c>
      <c r="B82" s="296">
        <v>0.9</v>
      </c>
      <c r="C82" s="296">
        <v>0.9</v>
      </c>
      <c r="D82" s="296">
        <v>0.9</v>
      </c>
      <c r="E82" s="296">
        <v>0.9</v>
      </c>
      <c r="F82" s="296">
        <v>0.9</v>
      </c>
      <c r="G82" s="296">
        <v>0.9</v>
      </c>
      <c r="H82" s="296">
        <v>0.9</v>
      </c>
      <c r="I82" s="296">
        <v>0.9</v>
      </c>
      <c r="J82" s="296">
        <v>0.9</v>
      </c>
      <c r="K82" s="296">
        <v>0.9</v>
      </c>
      <c r="L82" s="296">
        <v>0.9</v>
      </c>
      <c r="M82" s="296">
        <v>0.9</v>
      </c>
      <c r="N82" s="296">
        <v>0.9</v>
      </c>
      <c r="O82" s="296">
        <v>0.9</v>
      </c>
      <c r="P82" s="296">
        <v>0.9</v>
      </c>
      <c r="Q82" s="296">
        <v>0.9</v>
      </c>
      <c r="R82" s="296">
        <v>0.9</v>
      </c>
      <c r="S82" s="296">
        <v>0.9</v>
      </c>
      <c r="T82" s="296">
        <v>0.9</v>
      </c>
      <c r="U82" s="296">
        <v>0.9</v>
      </c>
      <c r="V82" s="296">
        <v>0.9</v>
      </c>
      <c r="W82" s="296">
        <v>0.9</v>
      </c>
      <c r="X82" s="296">
        <v>0.9</v>
      </c>
      <c r="Y82" s="331">
        <v>0.9</v>
      </c>
      <c r="Z82" s="487">
        <v>0.9</v>
      </c>
      <c r="AA82" s="300"/>
      <c r="AB82" s="300"/>
      <c r="AC82" s="300"/>
      <c r="AD82" s="274"/>
      <c r="AE82" s="274"/>
      <c r="AF82" s="7"/>
      <c r="AG82" s="7"/>
      <c r="AH82" s="7"/>
      <c r="AI82" s="7"/>
      <c r="AJ82" s="7"/>
    </row>
    <row r="83" spans="1:46" x14ac:dyDescent="0.2">
      <c r="A83" s="427" t="s">
        <v>204</v>
      </c>
      <c r="B83" s="487">
        <v>0.9</v>
      </c>
      <c r="C83" s="487">
        <v>0.9</v>
      </c>
      <c r="D83" s="487">
        <v>0.9</v>
      </c>
      <c r="E83" s="487">
        <v>0.9</v>
      </c>
      <c r="F83" s="487">
        <v>0.9</v>
      </c>
      <c r="G83" s="487">
        <v>0.9</v>
      </c>
      <c r="H83" s="487">
        <v>0.9</v>
      </c>
      <c r="I83" s="487">
        <v>0.9</v>
      </c>
      <c r="J83" s="487">
        <v>0.9</v>
      </c>
      <c r="K83" s="487">
        <v>0.9</v>
      </c>
      <c r="L83" s="487">
        <v>0.9</v>
      </c>
      <c r="M83" s="487">
        <v>0.9</v>
      </c>
      <c r="N83" s="487">
        <v>0.9</v>
      </c>
      <c r="O83" s="487">
        <v>0.9</v>
      </c>
      <c r="P83" s="487">
        <v>0.9</v>
      </c>
      <c r="Q83" s="487">
        <v>0.9</v>
      </c>
      <c r="R83" s="487">
        <v>0.9</v>
      </c>
      <c r="S83" s="487">
        <v>0.9</v>
      </c>
      <c r="T83" s="487">
        <v>0.9</v>
      </c>
      <c r="U83" s="487">
        <v>0.9</v>
      </c>
      <c r="V83" s="487">
        <v>0.9</v>
      </c>
      <c r="W83" s="487">
        <v>0.9</v>
      </c>
      <c r="X83" s="487">
        <v>0.9</v>
      </c>
      <c r="Y83" s="488">
        <v>0.9</v>
      </c>
      <c r="Z83" s="487">
        <v>0.9</v>
      </c>
      <c r="AA83" s="300"/>
      <c r="AB83" s="300"/>
      <c r="AC83" s="300"/>
      <c r="AD83" s="278"/>
      <c r="AE83" s="278"/>
      <c r="AF83" s="85"/>
    </row>
    <row r="84" spans="1:46"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7">
        <v>0.75</v>
      </c>
      <c r="Y84" s="488">
        <v>0.75</v>
      </c>
      <c r="Z84" s="487">
        <v>0.75</v>
      </c>
      <c r="AA84" s="300"/>
      <c r="AB84" s="300"/>
      <c r="AC84" s="300"/>
      <c r="AD84" s="85"/>
      <c r="AE84" s="85"/>
      <c r="AF84" s="85"/>
    </row>
    <row r="85" spans="1:46" x14ac:dyDescent="0.2">
      <c r="A85" s="131"/>
      <c r="B85" s="37"/>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90"/>
      <c r="AC85" s="85"/>
      <c r="AF85" s="85"/>
    </row>
    <row r="86" spans="1:46" x14ac:dyDescent="0.2">
      <c r="A86" s="34"/>
      <c r="B86" s="34"/>
      <c r="C86" s="34"/>
      <c r="D86" s="34"/>
      <c r="E86" s="112" t="s">
        <v>207</v>
      </c>
      <c r="F86" s="91"/>
      <c r="G86" s="111"/>
      <c r="H86" s="87"/>
      <c r="I86" s="114"/>
      <c r="J86" s="114"/>
      <c r="K86" s="91"/>
      <c r="L86" s="91"/>
      <c r="M86" s="115"/>
      <c r="N86" s="87"/>
      <c r="O86" s="34"/>
      <c r="P86" s="34"/>
      <c r="Q86" s="34"/>
      <c r="R86" s="18"/>
      <c r="S86" s="18"/>
      <c r="T86" s="18"/>
      <c r="U86" s="18"/>
      <c r="V86" s="111"/>
      <c r="W86" s="111"/>
      <c r="X86" s="111"/>
      <c r="Y86" s="111"/>
      <c r="Z86" s="111"/>
      <c r="AA86" s="92"/>
      <c r="AD86" s="99"/>
      <c r="AE86" s="99"/>
    </row>
    <row r="87" spans="1:46" x14ac:dyDescent="0.2">
      <c r="A87" s="34"/>
      <c r="B87" s="34"/>
      <c r="C87" s="34"/>
      <c r="D87" s="34"/>
      <c r="E87" s="100" t="s">
        <v>209</v>
      </c>
      <c r="F87" s="72"/>
      <c r="G87" s="96" t="s">
        <v>210</v>
      </c>
      <c r="I87" s="117"/>
      <c r="J87" s="114"/>
      <c r="K87" s="91"/>
      <c r="L87" s="91"/>
      <c r="M87" s="116"/>
      <c r="N87" s="117"/>
      <c r="O87" s="34"/>
      <c r="P87" s="34"/>
      <c r="Q87" s="34"/>
      <c r="V87" s="111"/>
      <c r="W87" s="111"/>
      <c r="X87" s="111"/>
      <c r="Y87" s="111"/>
      <c r="Z87" s="111"/>
      <c r="AB87" s="85"/>
      <c r="AC87" s="99"/>
      <c r="AF87" s="99"/>
      <c r="AG87" s="18"/>
      <c r="AH87" s="18"/>
      <c r="AI87" s="18"/>
      <c r="AJ87" s="18"/>
    </row>
    <row r="88" spans="1:46" s="18" customFormat="1" x14ac:dyDescent="0.2">
      <c r="A88" s="113" t="s">
        <v>206</v>
      </c>
      <c r="B88" s="34"/>
      <c r="C88" s="34"/>
      <c r="D88" s="34"/>
      <c r="E88" s="100" t="s">
        <v>211</v>
      </c>
      <c r="F88" s="72"/>
      <c r="G88" s="118" t="s">
        <v>212</v>
      </c>
      <c r="H88" s="7"/>
      <c r="I88" s="117"/>
      <c r="J88" s="114"/>
      <c r="K88" s="91"/>
      <c r="L88" s="91"/>
      <c r="M88" s="109"/>
      <c r="N88" s="117"/>
      <c r="O88" s="34"/>
      <c r="P88" s="34"/>
      <c r="Q88" s="34"/>
      <c r="R88" s="7"/>
      <c r="S88" s="7"/>
      <c r="T88" s="7"/>
      <c r="U88" s="7"/>
      <c r="V88" s="111"/>
      <c r="W88" s="111"/>
      <c r="X88" s="111"/>
      <c r="Y88" s="111"/>
      <c r="Z88" s="111"/>
      <c r="AA88" s="85"/>
      <c r="AB88" s="85"/>
      <c r="AC88" s="7"/>
      <c r="AD88" s="7"/>
      <c r="AE88" s="7"/>
      <c r="AF88" s="7"/>
    </row>
    <row r="89" spans="1:46" s="18" customFormat="1" x14ac:dyDescent="0.2">
      <c r="A89" s="96" t="s">
        <v>279</v>
      </c>
      <c r="B89" s="34"/>
      <c r="C89" s="34"/>
      <c r="D89" s="34"/>
      <c r="E89" s="100" t="s">
        <v>213</v>
      </c>
      <c r="F89" s="72"/>
      <c r="G89" s="119" t="s">
        <v>214</v>
      </c>
      <c r="H89" s="7"/>
      <c r="I89" s="87"/>
      <c r="J89" s="87"/>
      <c r="K89" s="87"/>
      <c r="L89" s="87"/>
      <c r="M89" s="34"/>
      <c r="N89" s="87"/>
      <c r="O89" s="34"/>
      <c r="P89" s="34"/>
      <c r="Q89" s="34"/>
      <c r="R89" s="7"/>
      <c r="S89" s="7"/>
      <c r="T89" s="7"/>
      <c r="U89" s="7"/>
      <c r="V89" s="111"/>
      <c r="W89" s="111"/>
      <c r="X89" s="111"/>
      <c r="Y89" s="111"/>
      <c r="Z89" s="111"/>
      <c r="AA89" s="85"/>
      <c r="AB89" s="85"/>
      <c r="AC89" s="7"/>
      <c r="AD89" s="7"/>
      <c r="AE89" s="7"/>
      <c r="AF89" s="7"/>
    </row>
    <row r="90" spans="1:46" s="18" customFormat="1" x14ac:dyDescent="0.2">
      <c r="A90" s="34"/>
      <c r="B90" s="87"/>
      <c r="C90" s="87"/>
      <c r="D90" s="87"/>
      <c r="E90" s="100" t="s">
        <v>215</v>
      </c>
      <c r="F90" s="72"/>
      <c r="G90" s="119" t="s">
        <v>216</v>
      </c>
      <c r="H90" s="7"/>
      <c r="I90" s="87"/>
      <c r="J90" s="87"/>
      <c r="K90" s="87"/>
      <c r="L90" s="87"/>
      <c r="M90" s="34"/>
      <c r="N90" s="87"/>
      <c r="O90" s="87"/>
      <c r="P90" s="34"/>
      <c r="Q90" s="34"/>
      <c r="R90" s="7"/>
      <c r="S90" s="7"/>
      <c r="T90" s="7"/>
      <c r="U90" s="7"/>
      <c r="V90" s="111"/>
      <c r="W90" s="111"/>
      <c r="X90" s="111"/>
      <c r="Y90" s="111"/>
      <c r="Z90" s="111"/>
      <c r="AA90" s="85"/>
      <c r="AB90" s="7"/>
      <c r="AC90" s="7"/>
      <c r="AD90" s="7"/>
      <c r="AE90" s="7"/>
      <c r="AF90" s="7"/>
      <c r="AG90" s="7"/>
      <c r="AH90" s="7"/>
      <c r="AI90" s="7"/>
      <c r="AJ90" s="7"/>
    </row>
    <row r="91" spans="1:46" x14ac:dyDescent="0.2">
      <c r="A91" s="34"/>
      <c r="B91" s="87"/>
      <c r="C91" s="87"/>
      <c r="D91" s="87"/>
      <c r="E91" s="87"/>
      <c r="F91" s="87"/>
      <c r="G91" s="87"/>
      <c r="H91" s="34"/>
      <c r="I91" s="87"/>
      <c r="J91" s="87"/>
      <c r="K91" s="87"/>
      <c r="L91" s="87"/>
      <c r="M91" s="34"/>
      <c r="N91" s="87"/>
      <c r="O91" s="87"/>
      <c r="P91" s="34"/>
      <c r="Q91" s="34"/>
      <c r="R91" s="100"/>
      <c r="S91" s="72"/>
      <c r="U91" s="119"/>
      <c r="V91" s="111"/>
      <c r="W91" s="111"/>
      <c r="X91" s="111"/>
      <c r="Y91" s="111"/>
      <c r="Z91" s="111"/>
      <c r="AB91" s="99"/>
    </row>
    <row r="92" spans="1:46" ht="13.5" thickBot="1" x14ac:dyDescent="0.25">
      <c r="X92" s="42"/>
      <c r="Y92" s="42"/>
      <c r="Z92" s="42"/>
      <c r="AG92" s="18"/>
      <c r="AH92" s="18"/>
      <c r="AI92" s="18"/>
      <c r="AJ92" s="18"/>
    </row>
    <row r="93" spans="1:46" s="18" customFormat="1" ht="13.5" thickBot="1" x14ac:dyDescent="0.25">
      <c r="A93" s="640" t="s">
        <v>217</v>
      </c>
      <c r="B93" s="641"/>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2"/>
      <c r="AA93" s="85"/>
      <c r="AB93" s="7"/>
      <c r="AC93" s="7"/>
      <c r="AD93" s="7"/>
      <c r="AE93" s="7"/>
      <c r="AF93" s="7"/>
    </row>
    <row r="94" spans="1:46" s="18" customFormat="1" x14ac:dyDescent="0.2">
      <c r="A94" s="52" t="s">
        <v>218</v>
      </c>
      <c r="B94" s="53">
        <f t="shared" ref="B94:Y94" si="73">MIN(100,B96+$B$100)</f>
        <v>41.509487922091338</v>
      </c>
      <c r="C94" s="53">
        <f t="shared" si="73"/>
        <v>41.509487922091338</v>
      </c>
      <c r="D94" s="53">
        <f t="shared" si="73"/>
        <v>41.509487922091338</v>
      </c>
      <c r="E94" s="53">
        <f t="shared" si="73"/>
        <v>41.509487922091338</v>
      </c>
      <c r="F94" s="53">
        <f t="shared" si="73"/>
        <v>51.509487922091338</v>
      </c>
      <c r="G94" s="53">
        <f t="shared" si="73"/>
        <v>56.509487922091338</v>
      </c>
      <c r="H94" s="53">
        <f t="shared" si="73"/>
        <v>61.509487922091338</v>
      </c>
      <c r="I94" s="53">
        <f t="shared" si="73"/>
        <v>66.509487922091338</v>
      </c>
      <c r="J94" s="53">
        <f t="shared" si="73"/>
        <v>81.509487922091338</v>
      </c>
      <c r="K94" s="53">
        <f t="shared" si="73"/>
        <v>100</v>
      </c>
      <c r="L94" s="53">
        <f t="shared" si="73"/>
        <v>100</v>
      </c>
      <c r="M94" s="53">
        <f t="shared" si="73"/>
        <v>100</v>
      </c>
      <c r="N94" s="53">
        <f t="shared" si="73"/>
        <v>100</v>
      </c>
      <c r="O94" s="53">
        <f t="shared" si="73"/>
        <v>100</v>
      </c>
      <c r="P94" s="53">
        <f t="shared" si="73"/>
        <v>100</v>
      </c>
      <c r="Q94" s="53">
        <f t="shared" si="73"/>
        <v>100</v>
      </c>
      <c r="R94" s="53">
        <f t="shared" si="73"/>
        <v>100</v>
      </c>
      <c r="S94" s="53">
        <f t="shared" si="73"/>
        <v>100</v>
      </c>
      <c r="T94" s="53">
        <f t="shared" si="73"/>
        <v>100</v>
      </c>
      <c r="U94" s="53">
        <f t="shared" si="73"/>
        <v>100</v>
      </c>
      <c r="V94" s="53">
        <f t="shared" si="73"/>
        <v>100</v>
      </c>
      <c r="W94" s="53">
        <f t="shared" si="73"/>
        <v>100</v>
      </c>
      <c r="X94" s="53">
        <f t="shared" si="73"/>
        <v>100</v>
      </c>
      <c r="Y94" s="53">
        <f t="shared" si="73"/>
        <v>100</v>
      </c>
      <c r="Z94" s="60">
        <f>MIN(100,Z96+$B$100)</f>
        <v>46.509487922091338</v>
      </c>
      <c r="AA94" s="85"/>
      <c r="AB94" s="7"/>
      <c r="AC94" s="7"/>
      <c r="AD94" s="7"/>
      <c r="AE94" s="7"/>
      <c r="AF94" s="7"/>
      <c r="AG94" s="7"/>
      <c r="AH94" s="7"/>
      <c r="AI94" s="7"/>
      <c r="AJ94" s="7"/>
    </row>
    <row r="95" spans="1:46" x14ac:dyDescent="0.2">
      <c r="A95" s="489" t="s">
        <v>219</v>
      </c>
      <c r="B95" s="490">
        <f t="shared" ref="B95:Y95" si="74">MIN(100,B96+$B$101)</f>
        <v>23.254743961045669</v>
      </c>
      <c r="C95" s="490">
        <f t="shared" si="74"/>
        <v>23.254743961045669</v>
      </c>
      <c r="D95" s="490">
        <f t="shared" si="74"/>
        <v>23.254743961045669</v>
      </c>
      <c r="E95" s="490">
        <f t="shared" si="74"/>
        <v>23.254743961045669</v>
      </c>
      <c r="F95" s="490">
        <f t="shared" si="74"/>
        <v>33.254743961045669</v>
      </c>
      <c r="G95" s="490">
        <f t="shared" si="74"/>
        <v>38.254743961045669</v>
      </c>
      <c r="H95" s="490">
        <f t="shared" si="74"/>
        <v>43.254743961045669</v>
      </c>
      <c r="I95" s="490">
        <f t="shared" si="74"/>
        <v>48.254743961045669</v>
      </c>
      <c r="J95" s="490">
        <f t="shared" si="74"/>
        <v>63.254743961045669</v>
      </c>
      <c r="K95" s="490">
        <f t="shared" si="74"/>
        <v>83.254743961045676</v>
      </c>
      <c r="L95" s="490">
        <f t="shared" si="74"/>
        <v>93.254743961045676</v>
      </c>
      <c r="M95" s="490">
        <f t="shared" si="74"/>
        <v>98.254743961045676</v>
      </c>
      <c r="N95" s="490">
        <f t="shared" si="74"/>
        <v>100</v>
      </c>
      <c r="O95" s="490">
        <f t="shared" si="74"/>
        <v>100</v>
      </c>
      <c r="P95" s="490">
        <f t="shared" si="74"/>
        <v>100</v>
      </c>
      <c r="Q95" s="490">
        <f t="shared" si="74"/>
        <v>100</v>
      </c>
      <c r="R95" s="490">
        <f t="shared" si="74"/>
        <v>100</v>
      </c>
      <c r="S95" s="490">
        <f t="shared" si="74"/>
        <v>100</v>
      </c>
      <c r="T95" s="490">
        <f t="shared" si="74"/>
        <v>100</v>
      </c>
      <c r="U95" s="490">
        <f t="shared" si="74"/>
        <v>100</v>
      </c>
      <c r="V95" s="490">
        <f t="shared" si="74"/>
        <v>100</v>
      </c>
      <c r="W95" s="490">
        <f t="shared" si="74"/>
        <v>100</v>
      </c>
      <c r="X95" s="490">
        <f t="shared" si="74"/>
        <v>100</v>
      </c>
      <c r="Y95" s="490">
        <f t="shared" si="74"/>
        <v>100</v>
      </c>
      <c r="Z95" s="492">
        <f>MIN(100,Z96+$B$101)</f>
        <v>28.254743961045669</v>
      </c>
    </row>
    <row r="96" spans="1:46" x14ac:dyDescent="0.2">
      <c r="A96" s="489" t="s">
        <v>220</v>
      </c>
      <c r="B96" s="493">
        <v>5</v>
      </c>
      <c r="C96" s="493">
        <v>5</v>
      </c>
      <c r="D96" s="493">
        <v>5</v>
      </c>
      <c r="E96" s="493">
        <v>5</v>
      </c>
      <c r="F96" s="493">
        <v>15</v>
      </c>
      <c r="G96" s="493">
        <v>20</v>
      </c>
      <c r="H96" s="493">
        <v>25</v>
      </c>
      <c r="I96" s="493">
        <v>30</v>
      </c>
      <c r="J96" s="493">
        <v>45</v>
      </c>
      <c r="K96" s="493">
        <v>65</v>
      </c>
      <c r="L96" s="493">
        <v>75</v>
      </c>
      <c r="M96" s="493">
        <v>80</v>
      </c>
      <c r="N96" s="493">
        <v>85</v>
      </c>
      <c r="O96" s="493">
        <v>85</v>
      </c>
      <c r="P96" s="493">
        <v>85</v>
      </c>
      <c r="Q96" s="493">
        <v>85</v>
      </c>
      <c r="R96" s="493">
        <v>85</v>
      </c>
      <c r="S96" s="493">
        <v>85</v>
      </c>
      <c r="T96" s="493">
        <v>100</v>
      </c>
      <c r="U96" s="493">
        <v>100</v>
      </c>
      <c r="V96" s="493">
        <v>100</v>
      </c>
      <c r="W96" s="493">
        <v>100</v>
      </c>
      <c r="X96" s="493">
        <v>100</v>
      </c>
      <c r="Y96" s="493">
        <v>100</v>
      </c>
      <c r="Z96" s="495">
        <v>10</v>
      </c>
      <c r="AD96" s="99"/>
      <c r="AE96" s="99"/>
    </row>
    <row r="97" spans="1:36" x14ac:dyDescent="0.2">
      <c r="A97" s="489" t="s">
        <v>221</v>
      </c>
      <c r="B97" s="490">
        <f t="shared" ref="B97:P97" si="75">MIN(80,IF(B13="Deploy",80,MAX(0,B96-$B$101)))</f>
        <v>0</v>
      </c>
      <c r="C97" s="490">
        <f t="shared" si="75"/>
        <v>0</v>
      </c>
      <c r="D97" s="490">
        <f t="shared" si="75"/>
        <v>0</v>
      </c>
      <c r="E97" s="490">
        <f t="shared" si="75"/>
        <v>0</v>
      </c>
      <c r="F97" s="490">
        <f t="shared" si="75"/>
        <v>0</v>
      </c>
      <c r="G97" s="490">
        <f t="shared" si="75"/>
        <v>1.7452560389543308</v>
      </c>
      <c r="H97" s="490">
        <f t="shared" si="75"/>
        <v>6.7452560389543308</v>
      </c>
      <c r="I97" s="490">
        <f t="shared" si="75"/>
        <v>11.745256038954331</v>
      </c>
      <c r="J97" s="490">
        <f t="shared" si="75"/>
        <v>26.745256038954331</v>
      </c>
      <c r="K97" s="490">
        <f t="shared" si="75"/>
        <v>46.745256038954331</v>
      </c>
      <c r="L97" s="490">
        <f t="shared" si="75"/>
        <v>56.745256038954331</v>
      </c>
      <c r="M97" s="490">
        <f t="shared" si="75"/>
        <v>61.745256038954331</v>
      </c>
      <c r="N97" s="490">
        <f t="shared" si="75"/>
        <v>66.745256038954324</v>
      </c>
      <c r="O97" s="490">
        <f t="shared" si="75"/>
        <v>66.745256038954324</v>
      </c>
      <c r="P97" s="490">
        <f t="shared" si="75"/>
        <v>66.745256038954324</v>
      </c>
      <c r="Q97" s="490">
        <f>MIN(80,IF(X13="Deploy",80,MAX(0,Q96-$B$101)))</f>
        <v>66.745256038954324</v>
      </c>
      <c r="R97" s="490">
        <f>MIN(80,IF(Y13="Deploy",80,MAX(0,R96-$B$101)))</f>
        <v>66.745256038954324</v>
      </c>
      <c r="S97" s="490">
        <f>MIN(80,IF(W13="Deploy",80,MAX(0,S96-$B$101)))</f>
        <v>66.745256038954324</v>
      </c>
      <c r="T97" s="490">
        <f t="shared" ref="T97:Y97" si="76">MIN(80,IF(Q13="Deploy",80,MAX(0,T96-$B$101)))</f>
        <v>80</v>
      </c>
      <c r="U97" s="490">
        <f t="shared" si="76"/>
        <v>80</v>
      </c>
      <c r="V97" s="490">
        <f t="shared" si="76"/>
        <v>80</v>
      </c>
      <c r="W97" s="490">
        <f t="shared" si="76"/>
        <v>80</v>
      </c>
      <c r="X97" s="490">
        <f t="shared" si="76"/>
        <v>80</v>
      </c>
      <c r="Y97" s="490">
        <f t="shared" si="76"/>
        <v>80</v>
      </c>
      <c r="Z97" s="492">
        <f>MIN(80,IF(Z15="Deploy",80,MAX(0,Z96-$B$101)))</f>
        <v>0</v>
      </c>
      <c r="AC97" s="99"/>
      <c r="AD97" s="99"/>
      <c r="AE97" s="99"/>
      <c r="AF97" s="99"/>
    </row>
    <row r="98" spans="1:36" ht="13.5" thickBot="1" x14ac:dyDescent="0.25">
      <c r="A98" s="496" t="s">
        <v>222</v>
      </c>
      <c r="B98" s="497">
        <f t="shared" ref="B98:P98" si="77">MIN(60,IF(B14="Deploy",60,MAX(0,B96-$B$100)))</f>
        <v>0</v>
      </c>
      <c r="C98" s="497">
        <f t="shared" si="77"/>
        <v>0</v>
      </c>
      <c r="D98" s="497">
        <f t="shared" si="77"/>
        <v>0</v>
      </c>
      <c r="E98" s="497">
        <f t="shared" si="77"/>
        <v>0</v>
      </c>
      <c r="F98" s="497">
        <f t="shared" si="77"/>
        <v>0</v>
      </c>
      <c r="G98" s="497">
        <f t="shared" si="77"/>
        <v>0</v>
      </c>
      <c r="H98" s="497">
        <f t="shared" si="77"/>
        <v>0</v>
      </c>
      <c r="I98" s="497">
        <f t="shared" si="77"/>
        <v>0</v>
      </c>
      <c r="J98" s="497">
        <f t="shared" si="77"/>
        <v>8.4905120779086616</v>
      </c>
      <c r="K98" s="497">
        <f t="shared" si="77"/>
        <v>28.490512077908662</v>
      </c>
      <c r="L98" s="497">
        <f t="shared" si="77"/>
        <v>38.490512077908662</v>
      </c>
      <c r="M98" s="497">
        <f t="shared" si="77"/>
        <v>43.490512077908662</v>
      </c>
      <c r="N98" s="497">
        <f t="shared" si="77"/>
        <v>48.490512077908662</v>
      </c>
      <c r="O98" s="497">
        <f t="shared" si="77"/>
        <v>48.490512077908662</v>
      </c>
      <c r="P98" s="497">
        <f t="shared" si="77"/>
        <v>48.490512077908662</v>
      </c>
      <c r="Q98" s="497">
        <f>MIN(60,IF(X14="Deploy",60,MAX(0,Q96-$B$100)))</f>
        <v>48.490512077908662</v>
      </c>
      <c r="R98" s="497">
        <f>MIN(60,IF(Y14="Deploy",60,MAX(0,R96-$B$100)))</f>
        <v>48.490512077908662</v>
      </c>
      <c r="S98" s="497">
        <f>MIN(60,IF(W14="Deploy",60,MAX(0,S96-$B$100)))</f>
        <v>48.490512077908662</v>
      </c>
      <c r="T98" s="497">
        <f t="shared" ref="T98:Y98" si="78">MIN(60,IF(Q14="Deploy",60,MAX(0,T96-$B$100)))</f>
        <v>60</v>
      </c>
      <c r="U98" s="497">
        <f t="shared" si="78"/>
        <v>60</v>
      </c>
      <c r="V98" s="497">
        <f t="shared" si="78"/>
        <v>60</v>
      </c>
      <c r="W98" s="497">
        <f t="shared" si="78"/>
        <v>60</v>
      </c>
      <c r="X98" s="497">
        <f t="shared" si="78"/>
        <v>60</v>
      </c>
      <c r="Y98" s="497">
        <f t="shared" si="78"/>
        <v>60</v>
      </c>
      <c r="Z98" s="499">
        <f>MIN(60,IF(Z16="Deploy",60,MAX(0,Z96-$B$100)))</f>
        <v>0</v>
      </c>
      <c r="AC98" s="99"/>
      <c r="AF98" s="99"/>
    </row>
    <row r="99" spans="1:36" ht="13.5" thickBot="1" x14ac:dyDescent="0.25">
      <c r="A99" s="144" t="s">
        <v>223</v>
      </c>
      <c r="B99" s="145">
        <v>52</v>
      </c>
      <c r="C99" s="145">
        <v>32</v>
      </c>
      <c r="D99" s="145">
        <v>32</v>
      </c>
      <c r="E99" s="145">
        <v>32</v>
      </c>
      <c r="F99" s="145">
        <v>32</v>
      </c>
      <c r="G99" s="145">
        <v>42</v>
      </c>
      <c r="H99" s="145">
        <v>42</v>
      </c>
      <c r="I99" s="145">
        <v>42</v>
      </c>
      <c r="J99" s="145">
        <v>43</v>
      </c>
      <c r="K99" s="145">
        <v>58</v>
      </c>
      <c r="L99" s="145">
        <v>62</v>
      </c>
      <c r="M99" s="145">
        <v>67</v>
      </c>
      <c r="N99" s="145">
        <v>69</v>
      </c>
      <c r="O99" s="145">
        <v>70</v>
      </c>
      <c r="P99" s="145">
        <v>70</v>
      </c>
      <c r="Q99" s="145">
        <v>70</v>
      </c>
      <c r="R99" s="145">
        <v>70</v>
      </c>
      <c r="S99" s="145">
        <v>70</v>
      </c>
      <c r="T99" s="145">
        <v>100</v>
      </c>
      <c r="U99" s="145">
        <v>100</v>
      </c>
      <c r="V99" s="145">
        <v>100</v>
      </c>
      <c r="W99" s="145">
        <v>100</v>
      </c>
      <c r="X99" s="145">
        <v>100</v>
      </c>
      <c r="Y99" s="145">
        <v>100</v>
      </c>
      <c r="Z99" s="147">
        <v>37</v>
      </c>
    </row>
    <row r="100" spans="1:36" x14ac:dyDescent="0.2">
      <c r="A100" s="123" t="s">
        <v>224</v>
      </c>
      <c r="B100" s="124">
        <f t="array" ref="B100">SQRT(SUM(POWER(AVERAGE(B96:Y96)-(B96:Y96),2))/COUNT(B96:Y96))*1</f>
        <v>36.509487922091338</v>
      </c>
    </row>
    <row r="101" spans="1:36" ht="13.5" thickBot="1" x14ac:dyDescent="0.25">
      <c r="A101" s="500" t="s">
        <v>225</v>
      </c>
      <c r="B101" s="501">
        <f>B100/2</f>
        <v>18.254743961045669</v>
      </c>
      <c r="AB101" s="99"/>
    </row>
    <row r="102" spans="1:36" ht="13.5" thickBo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B102" s="99"/>
      <c r="AG102" s="99"/>
      <c r="AH102" s="99"/>
      <c r="AI102" s="99"/>
      <c r="AJ102" s="99"/>
    </row>
    <row r="103" spans="1:36" s="99" customFormat="1" ht="13.5" thickBot="1" x14ac:dyDescent="0.25">
      <c r="A103" s="634" t="s">
        <v>226</v>
      </c>
      <c r="B103" s="635"/>
      <c r="D103" s="125"/>
      <c r="E103" s="125"/>
      <c r="F103" s="125"/>
      <c r="G103" s="125"/>
      <c r="H103" s="125"/>
      <c r="AA103" s="85"/>
      <c r="AB103" s="7"/>
      <c r="AC103" s="7"/>
      <c r="AD103" s="7"/>
      <c r="AE103" s="7"/>
      <c r="AF103" s="7"/>
      <c r="AG103" s="7"/>
      <c r="AH103" s="7"/>
      <c r="AI103" s="7"/>
      <c r="AJ103" s="7"/>
    </row>
    <row r="104" spans="1:36" ht="13.5" thickBot="1" x14ac:dyDescent="0.25">
      <c r="A104" s="636" t="s">
        <v>227</v>
      </c>
      <c r="B104" s="637"/>
      <c r="C104" s="99"/>
      <c r="D104" s="125"/>
      <c r="E104" s="125"/>
      <c r="F104" s="125"/>
      <c r="G104" s="125"/>
      <c r="H104" s="125"/>
      <c r="I104" s="99"/>
      <c r="J104" s="99"/>
      <c r="K104" s="99"/>
      <c r="L104" s="99"/>
      <c r="M104" s="99"/>
      <c r="N104" s="99"/>
      <c r="O104" s="99"/>
      <c r="P104" s="99"/>
      <c r="Q104" s="99"/>
      <c r="R104" s="99"/>
      <c r="S104" s="99"/>
      <c r="T104" s="99"/>
      <c r="U104" s="99"/>
      <c r="V104" s="99"/>
      <c r="W104" s="99"/>
      <c r="X104" s="99"/>
      <c r="Y104" s="99"/>
      <c r="Z104" s="99"/>
    </row>
    <row r="105" spans="1:36" ht="13.5" thickTop="1" x14ac:dyDescent="0.2">
      <c r="A105" s="21" t="s">
        <v>228</v>
      </c>
      <c r="B105" s="22">
        <v>9</v>
      </c>
      <c r="D105" s="23"/>
      <c r="E105" s="24"/>
      <c r="F105" s="20"/>
      <c r="G105" s="20"/>
      <c r="H105" s="20"/>
    </row>
    <row r="106" spans="1:36" x14ac:dyDescent="0.2">
      <c r="A106" s="502" t="s">
        <v>229</v>
      </c>
      <c r="B106" s="503">
        <v>5</v>
      </c>
      <c r="D106" s="23"/>
      <c r="E106" s="25"/>
      <c r="F106" s="20"/>
      <c r="G106" s="20"/>
      <c r="H106" s="20"/>
    </row>
    <row r="107" spans="1:36" x14ac:dyDescent="0.2">
      <c r="A107" s="21" t="s">
        <v>230</v>
      </c>
      <c r="B107" s="22">
        <v>9</v>
      </c>
      <c r="D107" s="23"/>
      <c r="E107" s="23"/>
      <c r="F107" s="20"/>
      <c r="G107" s="20"/>
      <c r="H107" s="20"/>
    </row>
    <row r="108" spans="1:36" x14ac:dyDescent="0.2">
      <c r="A108" s="502" t="s">
        <v>231</v>
      </c>
      <c r="B108" s="503">
        <v>5</v>
      </c>
      <c r="D108" s="23"/>
      <c r="E108" s="23"/>
      <c r="F108" s="20"/>
      <c r="G108" s="20"/>
      <c r="H108" s="20"/>
    </row>
    <row r="109" spans="1:36" x14ac:dyDescent="0.2">
      <c r="A109" s="502" t="s">
        <v>232</v>
      </c>
      <c r="B109" s="504" t="s">
        <v>200</v>
      </c>
      <c r="D109" s="15"/>
      <c r="E109" s="23"/>
      <c r="F109" s="20"/>
      <c r="G109" s="20"/>
      <c r="H109" s="20"/>
      <c r="AD109" s="99"/>
      <c r="AE109" s="99"/>
    </row>
    <row r="110" spans="1:36" x14ac:dyDescent="0.2">
      <c r="A110" s="502" t="s">
        <v>233</v>
      </c>
      <c r="B110" s="504">
        <v>5</v>
      </c>
      <c r="D110" s="15"/>
      <c r="E110" s="23"/>
      <c r="F110" s="20"/>
      <c r="G110" s="20"/>
      <c r="H110" s="20"/>
      <c r="AC110" s="99"/>
      <c r="AF110" s="99"/>
    </row>
    <row r="111" spans="1:36" x14ac:dyDescent="0.2">
      <c r="A111" s="502" t="s">
        <v>234</v>
      </c>
      <c r="B111" s="504">
        <v>9</v>
      </c>
      <c r="D111" s="15"/>
      <c r="E111" s="23"/>
      <c r="F111" s="20"/>
      <c r="G111" s="20"/>
      <c r="H111" s="20"/>
    </row>
    <row r="112" spans="1:36" x14ac:dyDescent="0.2">
      <c r="A112" s="502" t="s">
        <v>235</v>
      </c>
      <c r="B112" s="503">
        <v>14</v>
      </c>
      <c r="D112" s="15"/>
      <c r="E112" s="23"/>
      <c r="F112" s="20"/>
      <c r="G112" s="20"/>
      <c r="H112" s="20"/>
      <c r="AG112" s="99"/>
      <c r="AH112" s="99"/>
      <c r="AI112" s="99"/>
      <c r="AJ112" s="99"/>
    </row>
    <row r="113" spans="1:36" s="99" customFormat="1" x14ac:dyDescent="0.2">
      <c r="A113" s="502" t="s">
        <v>236</v>
      </c>
      <c r="B113" s="505" t="s">
        <v>200</v>
      </c>
      <c r="C113" s="7"/>
      <c r="D113" s="15"/>
      <c r="E113" s="7"/>
      <c r="F113" s="7"/>
      <c r="G113" s="20"/>
      <c r="H113" s="20"/>
      <c r="I113" s="7"/>
      <c r="J113" s="7"/>
      <c r="K113" s="7"/>
      <c r="L113" s="7"/>
      <c r="M113" s="7"/>
      <c r="N113" s="7"/>
      <c r="O113" s="7"/>
      <c r="P113" s="7"/>
      <c r="Q113" s="7"/>
      <c r="R113" s="7"/>
      <c r="S113" s="7"/>
      <c r="T113" s="7"/>
      <c r="U113" s="7"/>
      <c r="V113" s="7"/>
      <c r="W113" s="7"/>
      <c r="X113" s="7"/>
      <c r="Y113" s="7"/>
      <c r="Z113" s="7"/>
      <c r="AA113" s="85"/>
      <c r="AB113" s="7"/>
      <c r="AC113" s="7"/>
      <c r="AD113" s="7"/>
      <c r="AE113" s="7"/>
      <c r="AF113" s="7"/>
    </row>
    <row r="114" spans="1:36" s="99" customFormat="1" x14ac:dyDescent="0.2">
      <c r="A114" s="502" t="s">
        <v>237</v>
      </c>
      <c r="B114" s="506">
        <v>14</v>
      </c>
      <c r="D114" s="15"/>
      <c r="E114" s="23"/>
      <c r="F114" s="20"/>
      <c r="G114" s="125"/>
      <c r="H114" s="125"/>
      <c r="AA114" s="85"/>
      <c r="AC114" s="7"/>
      <c r="AD114" s="7"/>
      <c r="AE114" s="7"/>
      <c r="AF114" s="7"/>
      <c r="AG114" s="7"/>
      <c r="AH114" s="7"/>
      <c r="AI114" s="7"/>
      <c r="AJ114" s="7"/>
    </row>
    <row r="115" spans="1:36" x14ac:dyDescent="0.2">
      <c r="A115" s="502" t="s">
        <v>201</v>
      </c>
      <c r="B115" s="506">
        <v>14</v>
      </c>
      <c r="D115" s="15"/>
      <c r="E115" s="23"/>
      <c r="F115" s="20"/>
      <c r="G115" s="20"/>
      <c r="H115" s="20"/>
    </row>
    <row r="116" spans="1:36" ht="13.5" thickBot="1" x14ac:dyDescent="0.25">
      <c r="A116" s="507" t="s">
        <v>239</v>
      </c>
      <c r="B116" s="508">
        <v>8</v>
      </c>
      <c r="D116" s="15"/>
      <c r="F116" s="125"/>
      <c r="G116" s="20"/>
      <c r="H116" s="20"/>
    </row>
    <row r="117" spans="1:36" ht="13.5" thickBot="1" x14ac:dyDescent="0.25"/>
    <row r="118" spans="1:36" ht="13.5" thickBot="1" x14ac:dyDescent="0.25">
      <c r="A118" s="634" t="s">
        <v>240</v>
      </c>
      <c r="B118" s="635"/>
    </row>
    <row r="119" spans="1:36" x14ac:dyDescent="0.2">
      <c r="A119" s="47" t="s">
        <v>241</v>
      </c>
      <c r="B119" s="48" t="s">
        <v>242</v>
      </c>
      <c r="C119" s="48" t="s">
        <v>242</v>
      </c>
      <c r="D119" s="48" t="s">
        <v>242</v>
      </c>
      <c r="E119" s="48" t="s">
        <v>242</v>
      </c>
      <c r="F119" s="48" t="s">
        <v>242</v>
      </c>
      <c r="G119" s="48" t="s">
        <v>242</v>
      </c>
      <c r="H119" s="48" t="s">
        <v>242</v>
      </c>
      <c r="I119" s="48" t="s">
        <v>242</v>
      </c>
      <c r="J119" s="48" t="s">
        <v>242</v>
      </c>
      <c r="K119" s="48" t="s">
        <v>242</v>
      </c>
      <c r="L119" s="48" t="s">
        <v>242</v>
      </c>
      <c r="M119" s="48" t="s">
        <v>242</v>
      </c>
      <c r="N119" s="48" t="s">
        <v>242</v>
      </c>
      <c r="O119" s="48" t="s">
        <v>242</v>
      </c>
      <c r="P119" s="48" t="s">
        <v>242</v>
      </c>
      <c r="Q119" s="48" t="s">
        <v>242</v>
      </c>
      <c r="R119" s="48" t="s">
        <v>242</v>
      </c>
      <c r="S119" s="48"/>
      <c r="T119" s="48"/>
      <c r="U119" s="48"/>
      <c r="V119" s="48"/>
      <c r="W119" s="48"/>
      <c r="X119" s="48"/>
      <c r="Y119" s="48"/>
      <c r="Z119" s="49" t="s">
        <v>242</v>
      </c>
    </row>
    <row r="120" spans="1:36" ht="13.5" thickBot="1" x14ac:dyDescent="0.25">
      <c r="A120" s="509" t="s">
        <v>243</v>
      </c>
      <c r="B120" s="510"/>
      <c r="C120" s="510"/>
      <c r="D120" s="510"/>
      <c r="E120" s="510"/>
      <c r="F120" s="510"/>
      <c r="G120" s="510"/>
      <c r="H120" s="510"/>
      <c r="I120" s="510"/>
      <c r="J120" s="510"/>
      <c r="K120" s="510"/>
      <c r="L120" s="510"/>
      <c r="M120" s="510"/>
      <c r="N120" s="510"/>
      <c r="O120" s="510"/>
      <c r="P120" s="510"/>
      <c r="Q120" s="510"/>
      <c r="R120" s="510"/>
      <c r="S120" s="510"/>
      <c r="T120" s="510" t="s">
        <v>242</v>
      </c>
      <c r="U120" s="510" t="s">
        <v>242</v>
      </c>
      <c r="V120" s="510" t="s">
        <v>242</v>
      </c>
      <c r="W120" s="510" t="s">
        <v>242</v>
      </c>
      <c r="X120" s="510" t="s">
        <v>242</v>
      </c>
      <c r="Y120" s="510" t="s">
        <v>242</v>
      </c>
      <c r="Z120" s="511"/>
    </row>
    <row r="121" spans="1:36" ht="13.5" thickBot="1" x14ac:dyDescent="0.25"/>
    <row r="122" spans="1:36" ht="13.5" thickBot="1" x14ac:dyDescent="0.25">
      <c r="A122" s="634" t="s">
        <v>244</v>
      </c>
      <c r="B122" s="635"/>
    </row>
    <row r="123" spans="1:36" ht="13.5" thickBot="1" x14ac:dyDescent="0.25">
      <c r="A123" s="70" t="s">
        <v>184</v>
      </c>
      <c r="B123" s="71" t="s">
        <v>105</v>
      </c>
    </row>
    <row r="124" spans="1:36" x14ac:dyDescent="0.2">
      <c r="A124" s="38" t="s">
        <v>185</v>
      </c>
      <c r="B124" s="38">
        <v>14</v>
      </c>
    </row>
    <row r="125" spans="1:36" x14ac:dyDescent="0.2">
      <c r="A125" s="465" t="s">
        <v>186</v>
      </c>
      <c r="B125" s="465">
        <v>10</v>
      </c>
    </row>
    <row r="126" spans="1:36" x14ac:dyDescent="0.2">
      <c r="A126" s="462" t="s">
        <v>187</v>
      </c>
      <c r="B126" s="465">
        <v>8</v>
      </c>
    </row>
    <row r="127" spans="1:36" x14ac:dyDescent="0.2">
      <c r="A127" s="462" t="s">
        <v>188</v>
      </c>
      <c r="B127" s="465">
        <v>4</v>
      </c>
    </row>
    <row r="128" spans="1:36" x14ac:dyDescent="0.2">
      <c r="A128" s="465" t="s">
        <v>189</v>
      </c>
      <c r="B128" s="465">
        <v>11</v>
      </c>
    </row>
    <row r="129" spans="1:10" x14ac:dyDescent="0.2">
      <c r="A129" s="465" t="s">
        <v>190</v>
      </c>
      <c r="B129" s="465">
        <v>7</v>
      </c>
    </row>
    <row r="130" spans="1:10" x14ac:dyDescent="0.2">
      <c r="A130" s="462" t="s">
        <v>191</v>
      </c>
      <c r="B130" s="465">
        <v>13</v>
      </c>
    </row>
    <row r="131" spans="1:10" x14ac:dyDescent="0.2">
      <c r="A131" s="462" t="s">
        <v>192</v>
      </c>
      <c r="B131" s="465">
        <v>9</v>
      </c>
    </row>
    <row r="132" spans="1:10" x14ac:dyDescent="0.2">
      <c r="A132" s="465" t="s">
        <v>193</v>
      </c>
      <c r="B132" s="465">
        <v>11</v>
      </c>
    </row>
    <row r="133" spans="1:10" x14ac:dyDescent="0.2">
      <c r="A133" s="465" t="s">
        <v>194</v>
      </c>
      <c r="B133" s="465">
        <v>7</v>
      </c>
    </row>
    <row r="134" spans="1:10" x14ac:dyDescent="0.2">
      <c r="A134" s="462" t="s">
        <v>195</v>
      </c>
      <c r="B134" s="465">
        <v>12</v>
      </c>
    </row>
    <row r="135" spans="1:10" ht="13.5" thickBot="1" x14ac:dyDescent="0.25">
      <c r="A135" s="512" t="s">
        <v>196</v>
      </c>
      <c r="B135" s="476">
        <v>8</v>
      </c>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5</v>
      </c>
      <c r="C139" s="515">
        <v>5</v>
      </c>
      <c r="D139" s="516">
        <v>4</v>
      </c>
      <c r="E139" s="516">
        <v>4</v>
      </c>
      <c r="F139" s="517">
        <v>3</v>
      </c>
      <c r="G139" s="518">
        <v>0</v>
      </c>
    </row>
    <row r="140" spans="1:10" x14ac:dyDescent="0.2">
      <c r="A140" s="514" t="s">
        <v>252</v>
      </c>
      <c r="B140" s="515">
        <f>$B$139</f>
        <v>5</v>
      </c>
      <c r="C140" s="515">
        <v>4</v>
      </c>
      <c r="D140" s="516">
        <v>3</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79">$B$139</f>
        <v>5</v>
      </c>
      <c r="C142" s="515">
        <f>ROUND(Q39,0)</f>
        <v>1</v>
      </c>
      <c r="D142" s="516"/>
      <c r="E142" s="516"/>
      <c r="F142" s="517"/>
      <c r="G142" s="518">
        <v>0</v>
      </c>
    </row>
    <row r="143" spans="1:10" x14ac:dyDescent="0.2">
      <c r="A143" s="514" t="s">
        <v>260</v>
      </c>
      <c r="B143" s="515">
        <f t="shared" si="79"/>
        <v>5</v>
      </c>
      <c r="C143" s="515">
        <f>ROUND(Q40,0)</f>
        <v>3</v>
      </c>
      <c r="D143" s="516">
        <v>2</v>
      </c>
      <c r="E143" s="516"/>
      <c r="F143" s="517">
        <v>1</v>
      </c>
      <c r="G143" s="518">
        <v>0</v>
      </c>
    </row>
    <row r="144" spans="1:10" x14ac:dyDescent="0.2">
      <c r="A144" s="514" t="s">
        <v>261</v>
      </c>
      <c r="B144" s="515">
        <f t="shared" si="79"/>
        <v>5</v>
      </c>
      <c r="C144" s="515">
        <f t="shared" ref="C144:C148" si="80">ROUND(Q41,0)</f>
        <v>3</v>
      </c>
      <c r="D144" s="516">
        <v>2</v>
      </c>
      <c r="E144" s="516"/>
      <c r="F144" s="517">
        <v>1</v>
      </c>
      <c r="G144" s="518">
        <v>0</v>
      </c>
    </row>
    <row r="145" spans="1:7" x14ac:dyDescent="0.2">
      <c r="A145" s="455" t="s">
        <v>262</v>
      </c>
      <c r="B145" s="515">
        <f t="shared" si="79"/>
        <v>5</v>
      </c>
      <c r="C145" s="515">
        <f t="shared" si="80"/>
        <v>3</v>
      </c>
      <c r="D145" s="516">
        <v>2</v>
      </c>
      <c r="E145" s="516"/>
      <c r="F145" s="517">
        <v>1</v>
      </c>
      <c r="G145" s="518">
        <v>0</v>
      </c>
    </row>
    <row r="146" spans="1:7" x14ac:dyDescent="0.2">
      <c r="A146" s="514" t="s">
        <v>263</v>
      </c>
      <c r="B146" s="515">
        <f t="shared" si="79"/>
        <v>5</v>
      </c>
      <c r="C146" s="515">
        <f t="shared" si="80"/>
        <v>3</v>
      </c>
      <c r="D146" s="516">
        <v>2</v>
      </c>
      <c r="E146" s="516">
        <v>2</v>
      </c>
      <c r="F146" s="517">
        <v>1</v>
      </c>
      <c r="G146" s="518">
        <v>0</v>
      </c>
    </row>
    <row r="147" spans="1:7" x14ac:dyDescent="0.2">
      <c r="A147" s="514" t="s">
        <v>264</v>
      </c>
      <c r="B147" s="515">
        <f t="shared" si="79"/>
        <v>5</v>
      </c>
      <c r="C147" s="515">
        <f t="shared" si="80"/>
        <v>4</v>
      </c>
      <c r="D147" s="516">
        <v>3</v>
      </c>
      <c r="E147" s="516">
        <v>2</v>
      </c>
      <c r="F147" s="517">
        <v>1</v>
      </c>
      <c r="G147" s="518">
        <v>0</v>
      </c>
    </row>
    <row r="148" spans="1:7" x14ac:dyDescent="0.2">
      <c r="A148" s="514" t="s">
        <v>265</v>
      </c>
      <c r="B148" s="515">
        <f t="shared" si="79"/>
        <v>5</v>
      </c>
      <c r="C148" s="515">
        <f t="shared" si="80"/>
        <v>3</v>
      </c>
      <c r="D148" s="516">
        <v>2</v>
      </c>
      <c r="E148" s="516">
        <v>2</v>
      </c>
      <c r="F148" s="517">
        <v>1</v>
      </c>
      <c r="G148" s="518">
        <v>0</v>
      </c>
    </row>
    <row r="149" spans="1:7" x14ac:dyDescent="0.2">
      <c r="A149" s="514" t="s">
        <v>266</v>
      </c>
      <c r="B149" s="515">
        <f t="shared" si="79"/>
        <v>5</v>
      </c>
      <c r="C149" s="515">
        <f t="shared" ref="C149:G149" si="81">C140</f>
        <v>4</v>
      </c>
      <c r="D149" s="516">
        <f t="shared" si="81"/>
        <v>3</v>
      </c>
      <c r="E149" s="516">
        <f t="shared" si="81"/>
        <v>3</v>
      </c>
      <c r="F149" s="517">
        <f t="shared" si="81"/>
        <v>2</v>
      </c>
      <c r="G149" s="518">
        <f t="shared" si="81"/>
        <v>0</v>
      </c>
    </row>
    <row r="150" spans="1:7" x14ac:dyDescent="0.2">
      <c r="A150" s="519" t="s">
        <v>267</v>
      </c>
      <c r="B150" s="515">
        <f t="shared" si="79"/>
        <v>5</v>
      </c>
      <c r="C150" s="515">
        <f t="shared" ref="C150:G150" si="82">C140</f>
        <v>4</v>
      </c>
      <c r="D150" s="516">
        <f t="shared" si="82"/>
        <v>3</v>
      </c>
      <c r="E150" s="516">
        <f t="shared" si="82"/>
        <v>3</v>
      </c>
      <c r="F150" s="517">
        <f t="shared" si="82"/>
        <v>2</v>
      </c>
      <c r="G150" s="518">
        <f t="shared" si="82"/>
        <v>0</v>
      </c>
    </row>
    <row r="151" spans="1:7" x14ac:dyDescent="0.2">
      <c r="A151" s="513" t="s">
        <v>179</v>
      </c>
      <c r="B151" s="195"/>
      <c r="C151" s="196"/>
      <c r="D151" s="196"/>
      <c r="E151" s="196"/>
      <c r="F151" s="196"/>
      <c r="G151" s="197"/>
    </row>
    <row r="152" spans="1:7" x14ac:dyDescent="0.2">
      <c r="A152" s="514" t="s">
        <v>180</v>
      </c>
      <c r="B152" s="515">
        <f>Q49</f>
        <v>20</v>
      </c>
      <c r="C152" s="515"/>
      <c r="D152" s="516">
        <f>B152-1</f>
        <v>19</v>
      </c>
      <c r="E152" s="516">
        <f>1+F152</f>
        <v>8</v>
      </c>
      <c r="F152" s="517">
        <f>MAX(E49,1)</f>
        <v>7</v>
      </c>
      <c r="G152" s="198">
        <v>0</v>
      </c>
    </row>
    <row r="153" spans="1:7" x14ac:dyDescent="0.2">
      <c r="A153" s="514" t="s">
        <v>148</v>
      </c>
      <c r="B153" s="515">
        <f>B152</f>
        <v>20</v>
      </c>
      <c r="C153" s="515">
        <f>Q50</f>
        <v>17</v>
      </c>
      <c r="D153" s="520">
        <f>C153-1</f>
        <v>16</v>
      </c>
      <c r="E153" s="516">
        <f t="shared" ref="E153:E167" si="83">1+F153</f>
        <v>7</v>
      </c>
      <c r="F153" s="517">
        <f>MAX(E50,1)</f>
        <v>6</v>
      </c>
      <c r="G153" s="198">
        <v>0</v>
      </c>
    </row>
    <row r="154" spans="1:7" x14ac:dyDescent="0.2">
      <c r="A154" s="514" t="s">
        <v>182</v>
      </c>
      <c r="B154" s="515">
        <f>Q51</f>
        <v>20</v>
      </c>
      <c r="C154" s="515"/>
      <c r="D154" s="516">
        <f>B154-1</f>
        <v>19</v>
      </c>
      <c r="E154" s="516">
        <f t="shared" si="83"/>
        <v>8</v>
      </c>
      <c r="F154" s="517">
        <f>MAX(E51,1)</f>
        <v>7</v>
      </c>
      <c r="G154" s="198">
        <v>0</v>
      </c>
    </row>
    <row r="155" spans="1:7" x14ac:dyDescent="0.2">
      <c r="A155" s="514" t="s">
        <v>152</v>
      </c>
      <c r="B155" s="515">
        <f>B154</f>
        <v>20</v>
      </c>
      <c r="C155" s="515">
        <f>Q52</f>
        <v>17</v>
      </c>
      <c r="D155" s="520">
        <f>C155-1</f>
        <v>16</v>
      </c>
      <c r="E155" s="516">
        <f t="shared" si="83"/>
        <v>7</v>
      </c>
      <c r="F155" s="517">
        <f>MAX(E52,1)</f>
        <v>6</v>
      </c>
      <c r="G155" s="198">
        <v>0</v>
      </c>
    </row>
    <row r="156" spans="1:7" x14ac:dyDescent="0.2">
      <c r="A156" s="514" t="s">
        <v>253</v>
      </c>
      <c r="B156" s="521">
        <f>Q54</f>
        <v>14</v>
      </c>
      <c r="C156" s="515"/>
      <c r="D156" s="516">
        <f>B156-1</f>
        <v>13</v>
      </c>
      <c r="E156" s="516">
        <f t="shared" si="83"/>
        <v>5</v>
      </c>
      <c r="F156" s="517">
        <f t="shared" ref="F156:F167" si="84">MAX(E54,1)</f>
        <v>4</v>
      </c>
      <c r="G156" s="198">
        <v>0</v>
      </c>
    </row>
    <row r="157" spans="1:7" x14ac:dyDescent="0.2">
      <c r="A157" s="514" t="s">
        <v>186</v>
      </c>
      <c r="B157" s="521">
        <f>B156</f>
        <v>14</v>
      </c>
      <c r="C157" s="515">
        <f>Q55</f>
        <v>10</v>
      </c>
      <c r="D157" s="520">
        <f>C157-1</f>
        <v>9</v>
      </c>
      <c r="E157" s="516">
        <f t="shared" si="83"/>
        <v>4</v>
      </c>
      <c r="F157" s="517">
        <f t="shared" si="84"/>
        <v>3</v>
      </c>
      <c r="G157" s="198">
        <v>0</v>
      </c>
    </row>
    <row r="158" spans="1:7" x14ac:dyDescent="0.2">
      <c r="A158" s="514" t="s">
        <v>187</v>
      </c>
      <c r="B158" s="521">
        <f>Q56</f>
        <v>8</v>
      </c>
      <c r="C158" s="515"/>
      <c r="D158" s="516">
        <f>B158-1</f>
        <v>7</v>
      </c>
      <c r="E158" s="516">
        <f t="shared" si="83"/>
        <v>2</v>
      </c>
      <c r="F158" s="517">
        <f t="shared" si="84"/>
        <v>1</v>
      </c>
      <c r="G158" s="198">
        <v>0</v>
      </c>
    </row>
    <row r="159" spans="1:7" x14ac:dyDescent="0.2">
      <c r="A159" s="514" t="s">
        <v>188</v>
      </c>
      <c r="B159" s="521">
        <f>B158</f>
        <v>8</v>
      </c>
      <c r="C159" s="515">
        <f>Q57</f>
        <v>4</v>
      </c>
      <c r="D159" s="520">
        <f>C159-1</f>
        <v>3</v>
      </c>
      <c r="E159" s="516">
        <f t="shared" si="83"/>
        <v>2</v>
      </c>
      <c r="F159" s="517">
        <f t="shared" si="84"/>
        <v>1</v>
      </c>
      <c r="G159" s="198">
        <v>0</v>
      </c>
    </row>
    <row r="160" spans="1:7" x14ac:dyDescent="0.2">
      <c r="A160" s="514" t="s">
        <v>189</v>
      </c>
      <c r="B160" s="521">
        <f>Q58</f>
        <v>11</v>
      </c>
      <c r="C160" s="515"/>
      <c r="D160" s="516">
        <f>B160-1</f>
        <v>10</v>
      </c>
      <c r="E160" s="516">
        <f t="shared" si="83"/>
        <v>2</v>
      </c>
      <c r="F160" s="517">
        <f t="shared" si="84"/>
        <v>1</v>
      </c>
      <c r="G160" s="198">
        <v>0</v>
      </c>
    </row>
    <row r="161" spans="1:7" x14ac:dyDescent="0.2">
      <c r="A161" s="514" t="s">
        <v>190</v>
      </c>
      <c r="B161" s="521">
        <f>B160</f>
        <v>11</v>
      </c>
      <c r="C161" s="515">
        <f>Q59</f>
        <v>7</v>
      </c>
      <c r="D161" s="520">
        <f>C161-1</f>
        <v>6</v>
      </c>
      <c r="E161" s="516">
        <f t="shared" si="83"/>
        <v>2</v>
      </c>
      <c r="F161" s="517">
        <f t="shared" si="84"/>
        <v>1</v>
      </c>
      <c r="G161" s="198">
        <v>0</v>
      </c>
    </row>
    <row r="162" spans="1:7" x14ac:dyDescent="0.2">
      <c r="A162" s="514" t="s">
        <v>191</v>
      </c>
      <c r="B162" s="521">
        <f>Q60</f>
        <v>13</v>
      </c>
      <c r="C162" s="515"/>
      <c r="D162" s="516">
        <f>B162-1</f>
        <v>12</v>
      </c>
      <c r="E162" s="516">
        <f t="shared" si="83"/>
        <v>5</v>
      </c>
      <c r="F162" s="517">
        <f t="shared" si="84"/>
        <v>4</v>
      </c>
      <c r="G162" s="198">
        <v>0</v>
      </c>
    </row>
    <row r="163" spans="1:7" x14ac:dyDescent="0.2">
      <c r="A163" s="514" t="s">
        <v>192</v>
      </c>
      <c r="B163" s="521">
        <f>B162</f>
        <v>13</v>
      </c>
      <c r="C163" s="515">
        <f>Q61</f>
        <v>9</v>
      </c>
      <c r="D163" s="520">
        <f>C163-1</f>
        <v>8</v>
      </c>
      <c r="E163" s="516">
        <f t="shared" si="83"/>
        <v>4</v>
      </c>
      <c r="F163" s="517">
        <f t="shared" si="84"/>
        <v>3</v>
      </c>
      <c r="G163" s="198">
        <v>0</v>
      </c>
    </row>
    <row r="164" spans="1:7" x14ac:dyDescent="0.2">
      <c r="A164" s="514" t="s">
        <v>193</v>
      </c>
      <c r="B164" s="521">
        <f>Q62</f>
        <v>11</v>
      </c>
      <c r="C164" s="515"/>
      <c r="D164" s="516">
        <f>B164-1</f>
        <v>10</v>
      </c>
      <c r="E164" s="516">
        <f t="shared" si="83"/>
        <v>5</v>
      </c>
      <c r="F164" s="517">
        <f t="shared" si="84"/>
        <v>4</v>
      </c>
      <c r="G164" s="198">
        <v>0</v>
      </c>
    </row>
    <row r="165" spans="1:7" x14ac:dyDescent="0.2">
      <c r="A165" s="514" t="s">
        <v>194</v>
      </c>
      <c r="B165" s="521">
        <f>B164</f>
        <v>11</v>
      </c>
      <c r="C165" s="515">
        <f>Q63</f>
        <v>7</v>
      </c>
      <c r="D165" s="520">
        <f>C165-1</f>
        <v>6</v>
      </c>
      <c r="E165" s="516">
        <f t="shared" si="83"/>
        <v>3</v>
      </c>
      <c r="F165" s="517">
        <f t="shared" si="84"/>
        <v>2</v>
      </c>
      <c r="G165" s="198">
        <v>0</v>
      </c>
    </row>
    <row r="166" spans="1:7" x14ac:dyDescent="0.2">
      <c r="A166" s="514" t="s">
        <v>195</v>
      </c>
      <c r="B166" s="521">
        <f>Q64</f>
        <v>12</v>
      </c>
      <c r="C166" s="515"/>
      <c r="D166" s="516">
        <f>B166-1</f>
        <v>11</v>
      </c>
      <c r="E166" s="516">
        <f t="shared" si="83"/>
        <v>5</v>
      </c>
      <c r="F166" s="517">
        <f t="shared" si="84"/>
        <v>4</v>
      </c>
      <c r="G166" s="198">
        <v>0</v>
      </c>
    </row>
    <row r="167" spans="1:7" ht="13.5" thickBot="1" x14ac:dyDescent="0.25">
      <c r="A167" s="522" t="s">
        <v>196</v>
      </c>
      <c r="B167" s="523">
        <f>B166</f>
        <v>12</v>
      </c>
      <c r="C167" s="523">
        <f>Q65</f>
        <v>8</v>
      </c>
      <c r="D167" s="524">
        <f>C167-1</f>
        <v>7</v>
      </c>
      <c r="E167" s="524">
        <f t="shared" si="83"/>
        <v>4</v>
      </c>
      <c r="F167" s="525">
        <f t="shared" si="84"/>
        <v>3</v>
      </c>
      <c r="G167" s="526">
        <v>0</v>
      </c>
    </row>
    <row r="170" spans="1:7" x14ac:dyDescent="0.2">
      <c r="A170" s="349" t="s">
        <v>254</v>
      </c>
      <c r="B170" s="349" t="s">
        <v>280</v>
      </c>
    </row>
    <row r="171" spans="1:7" x14ac:dyDescent="0.2">
      <c r="A171" s="527" t="s">
        <v>256</v>
      </c>
      <c r="B171" s="528">
        <f>HLOOKUP($B$170,'EA-18G Mission System Summary'!$B$1:$G$12,2,FALSE)</f>
        <v>0.89527359123637484</v>
      </c>
    </row>
    <row r="172" spans="1:7" x14ac:dyDescent="0.2">
      <c r="A172" s="527" t="str">
        <f t="shared" ref="A172:A180" si="85">A39</f>
        <v>Ready EA-18G Advanced Threat Mission Systems (C)</v>
      </c>
      <c r="B172" s="528">
        <f>HLOOKUP($B$170,'EA-18G Mission System Summary'!$B$1:$G$12,3,FALSE)</f>
        <v>0.15053593775504651</v>
      </c>
    </row>
    <row r="173" spans="1:7" x14ac:dyDescent="0.2">
      <c r="A173" s="527" t="str">
        <f t="shared" si="85"/>
        <v>Ready EA-18G HARM Mission Systems (D)</v>
      </c>
      <c r="B173" s="528">
        <f>HLOOKUP($B$170,'EA-18G Mission System Summary'!$B$1:$G$12,4,FALSE)</f>
        <v>0.83635671146417101</v>
      </c>
    </row>
    <row r="174" spans="1:7" x14ac:dyDescent="0.2">
      <c r="A174" s="527" t="str">
        <f t="shared" si="85"/>
        <v>Ready EA-18G AMRAAM Mission Systems (E)</v>
      </c>
      <c r="B174" s="528">
        <f>HLOOKUP($B$170,'EA-18G Mission System Summary'!$B$1:$G$12,5,FALSE)</f>
        <v>0.84946406224495341</v>
      </c>
    </row>
    <row r="175" spans="1:7" x14ac:dyDescent="0.2">
      <c r="A175" s="527" t="str">
        <f t="shared" si="85"/>
        <v>Ready EA-18G Ready Survivablity Mission System (F)</v>
      </c>
      <c r="B175" s="528">
        <f>HLOOKUP($B$170,'EA-18G Mission System Summary'!$B$1:$G$12,6,FALSE)</f>
        <v>0.83635671146417101</v>
      </c>
    </row>
    <row r="176" spans="1:7" x14ac:dyDescent="0.2">
      <c r="A176" s="527" t="str">
        <f t="shared" si="85"/>
        <v>Ready EA-18G Airborn Electronic Attack (AEA) System (G)</v>
      </c>
      <c r="B176" s="528">
        <f>HLOOKUP($B$170,'EA-18G Mission System Summary'!$B$1:$G$12,7,FALSE)</f>
        <v>0.84946406224495341</v>
      </c>
    </row>
    <row r="177" spans="1:2" x14ac:dyDescent="0.2">
      <c r="A177" s="527" t="str">
        <f t="shared" si="85"/>
        <v>Ready EA-18G Air Refueling System (I)</v>
      </c>
      <c r="B177" s="528">
        <f>HLOOKUP($B$170,'EA-18G Mission System Summary'!$B$1:$G$12,8,FALSE)</f>
        <v>0.15053593775504651</v>
      </c>
    </row>
    <row r="178" spans="1:2" x14ac:dyDescent="0.2">
      <c r="A178" s="527" t="str">
        <f t="shared" si="85"/>
        <v>Ready EA-18G Ready Tactical Navigation Systems (J)</v>
      </c>
      <c r="B178" s="528">
        <f>HLOOKUP($B$170,'EA-18G Mission System Summary'!$B$1:$G$12,9,FALSE)</f>
        <v>0.84946406224495341</v>
      </c>
    </row>
    <row r="179" spans="1:2" x14ac:dyDescent="0.2">
      <c r="A179" s="527" t="str">
        <f t="shared" si="85"/>
        <v>Ready EA-18G Shipboard Mission Systems (K)</v>
      </c>
      <c r="B179" s="528">
        <f>HLOOKUP($B$170,'EA-18G Mission System Summary'!$B$1:$G$12,10,FALSE)</f>
        <v>0.15053593775504651</v>
      </c>
    </row>
    <row r="180" spans="1:2" x14ac:dyDescent="0.2">
      <c r="A180" s="527" t="str">
        <f t="shared" si="85"/>
        <v>Ready EA-18G IMC Flight Mission Systems (L)</v>
      </c>
      <c r="B180" s="528">
        <f>HLOOKUP($B$170,'EA-18G Mission System Summary'!$B$1:$G$12,11,FALSE)</f>
        <v>1</v>
      </c>
    </row>
  </sheetData>
  <mergeCells count="19">
    <mergeCell ref="M1:P1"/>
    <mergeCell ref="B16:E16"/>
    <mergeCell ref="K16:M16"/>
    <mergeCell ref="H16:J16"/>
    <mergeCell ref="N16:P16"/>
    <mergeCell ref="AG17:AJ17"/>
    <mergeCell ref="AG28:AH28"/>
    <mergeCell ref="AG38:AH38"/>
    <mergeCell ref="A93:Z93"/>
    <mergeCell ref="A103:B103"/>
    <mergeCell ref="Q16:V16"/>
    <mergeCell ref="W16:Y16"/>
    <mergeCell ref="A118:B118"/>
    <mergeCell ref="A122:B122"/>
    <mergeCell ref="B137:C137"/>
    <mergeCell ref="D137:E137"/>
    <mergeCell ref="F137:G137"/>
    <mergeCell ref="F16:G16"/>
    <mergeCell ref="A104:B104"/>
  </mergeCells>
  <conditionalFormatting sqref="C151">
    <cfRule type="cellIs" dxfId="230" priority="149" operator="equal">
      <formula>B151</formula>
    </cfRule>
  </conditionalFormatting>
  <conditionalFormatting sqref="D151:E151">
    <cfRule type="cellIs" dxfId="229" priority="152" operator="equal">
      <formula>C151</formula>
    </cfRule>
  </conditionalFormatting>
  <conditionalFormatting sqref="F151">
    <cfRule type="cellIs" dxfId="228" priority="150" operator="equal">
      <formula>E151</formula>
    </cfRule>
    <cfRule type="cellIs" dxfId="227" priority="151" operator="equal">
      <formula>G151</formula>
    </cfRule>
  </conditionalFormatting>
  <conditionalFormatting sqref="F139">
    <cfRule type="cellIs" dxfId="226" priority="81" operator="equal">
      <formula>E139</formula>
    </cfRule>
  </conditionalFormatting>
  <conditionalFormatting sqref="F139">
    <cfRule type="cellIs" dxfId="225" priority="79" operator="equal">
      <formula>E139</formula>
    </cfRule>
  </conditionalFormatting>
  <conditionalFormatting sqref="F139">
    <cfRule type="cellIs" dxfId="224" priority="78" operator="equal">
      <formula>E139</formula>
    </cfRule>
  </conditionalFormatting>
  <conditionalFormatting sqref="D139">
    <cfRule type="cellIs" dxfId="223" priority="77" operator="equal">
      <formula>C139</formula>
    </cfRule>
  </conditionalFormatting>
  <conditionalFormatting sqref="E139">
    <cfRule type="cellIs" dxfId="222" priority="82" operator="equal">
      <formula>D139</formula>
    </cfRule>
  </conditionalFormatting>
  <conditionalFormatting sqref="F140:F141">
    <cfRule type="cellIs" dxfId="221" priority="76" operator="equal">
      <formula>E140</formula>
    </cfRule>
    <cfRule type="cellIs" dxfId="220" priority="80" operator="equal">
      <formula>G140</formula>
    </cfRule>
  </conditionalFormatting>
  <conditionalFormatting sqref="D139">
    <cfRule type="cellIs" dxfId="219" priority="83" operator="equal">
      <formula>C139</formula>
    </cfRule>
  </conditionalFormatting>
  <conditionalFormatting sqref="C139">
    <cfRule type="cellIs" dxfId="218" priority="75" operator="equal">
      <formula>B139</formula>
    </cfRule>
  </conditionalFormatting>
  <conditionalFormatting sqref="C140">
    <cfRule type="cellIs" dxfId="217" priority="74" operator="equal">
      <formula>B140</formula>
    </cfRule>
  </conditionalFormatting>
  <conditionalFormatting sqref="E140">
    <cfRule type="cellIs" dxfId="216" priority="73" operator="equal">
      <formula>D140</formula>
    </cfRule>
  </conditionalFormatting>
  <conditionalFormatting sqref="E152:E167">
    <cfRule type="cellIs" dxfId="215" priority="43" operator="equal">
      <formula>D152</formula>
    </cfRule>
  </conditionalFormatting>
  <conditionalFormatting sqref="D152:D153">
    <cfRule type="cellIs" dxfId="214" priority="48" operator="equal">
      <formula>C152</formula>
    </cfRule>
  </conditionalFormatting>
  <conditionalFormatting sqref="F152:F167">
    <cfRule type="cellIs" dxfId="213" priority="46" operator="equal">
      <formula>E152</formula>
    </cfRule>
    <cfRule type="cellIs" dxfId="212" priority="47" operator="equal">
      <formula>G152</formula>
    </cfRule>
  </conditionalFormatting>
  <conditionalFormatting sqref="C152 C154 C156 C158 C160">
    <cfRule type="cellIs" dxfId="211" priority="45" operator="equal">
      <formula>B152</formula>
    </cfRule>
  </conditionalFormatting>
  <conditionalFormatting sqref="C162">
    <cfRule type="cellIs" dxfId="210" priority="44" operator="equal">
      <formula>B162</formula>
    </cfRule>
  </conditionalFormatting>
  <conditionalFormatting sqref="C153">
    <cfRule type="cellIs" dxfId="209" priority="42" operator="equal">
      <formula>B153</formula>
    </cfRule>
  </conditionalFormatting>
  <conditionalFormatting sqref="C164 C166">
    <cfRule type="cellIs" dxfId="208" priority="41" operator="equal">
      <formula>B164</formula>
    </cfRule>
  </conditionalFormatting>
  <conditionalFormatting sqref="C155">
    <cfRule type="cellIs" dxfId="207" priority="40" operator="equal">
      <formula>B155</formula>
    </cfRule>
  </conditionalFormatting>
  <conditionalFormatting sqref="C157">
    <cfRule type="cellIs" dxfId="206" priority="39" operator="equal">
      <formula>B157</formula>
    </cfRule>
  </conditionalFormatting>
  <conditionalFormatting sqref="C159">
    <cfRule type="cellIs" dxfId="205" priority="38" operator="equal">
      <formula>B159</formula>
    </cfRule>
  </conditionalFormatting>
  <conditionalFormatting sqref="C161">
    <cfRule type="cellIs" dxfId="204" priority="37" operator="equal">
      <formula>B161</formula>
    </cfRule>
  </conditionalFormatting>
  <conditionalFormatting sqref="C163">
    <cfRule type="cellIs" dxfId="203" priority="36" operator="equal">
      <formula>B163</formula>
    </cfRule>
  </conditionalFormatting>
  <conditionalFormatting sqref="C165">
    <cfRule type="cellIs" dxfId="202" priority="35" operator="equal">
      <formula>B165</formula>
    </cfRule>
  </conditionalFormatting>
  <conditionalFormatting sqref="C167">
    <cfRule type="cellIs" dxfId="201" priority="34" operator="equal">
      <formula>B167</formula>
    </cfRule>
  </conditionalFormatting>
  <conditionalFormatting sqref="D154:D155">
    <cfRule type="cellIs" dxfId="200" priority="33" operator="equal">
      <formula>C154</formula>
    </cfRule>
  </conditionalFormatting>
  <conditionalFormatting sqref="D156:D157">
    <cfRule type="cellIs" dxfId="199" priority="32" operator="equal">
      <formula>C156</formula>
    </cfRule>
  </conditionalFormatting>
  <conditionalFormatting sqref="D158:D159">
    <cfRule type="cellIs" dxfId="198" priority="31" operator="equal">
      <formula>C158</formula>
    </cfRule>
  </conditionalFormatting>
  <conditionalFormatting sqref="D160:D161">
    <cfRule type="cellIs" dxfId="197" priority="30" operator="equal">
      <formula>C160</formula>
    </cfRule>
  </conditionalFormatting>
  <conditionalFormatting sqref="D162:D163">
    <cfRule type="cellIs" dxfId="196" priority="29" operator="equal">
      <formula>C162</formula>
    </cfRule>
  </conditionalFormatting>
  <conditionalFormatting sqref="D164:D165">
    <cfRule type="cellIs" dxfId="195" priority="28" operator="equal">
      <formula>C164</formula>
    </cfRule>
  </conditionalFormatting>
  <conditionalFormatting sqref="D166:D167">
    <cfRule type="cellIs" dxfId="194" priority="27" operator="equal">
      <formula>C166</formula>
    </cfRule>
  </conditionalFormatting>
  <conditionalFormatting sqref="B124:B135">
    <cfRule type="cellIs" dxfId="193" priority="85" operator="notEqual">
      <formula>#REF!</formula>
    </cfRule>
  </conditionalFormatting>
  <conditionalFormatting sqref="C143:C148">
    <cfRule type="cellIs" dxfId="192" priority="21" operator="equal">
      <formula>B143</formula>
    </cfRule>
  </conditionalFormatting>
  <conditionalFormatting sqref="E149:E150">
    <cfRule type="cellIs" dxfId="191" priority="8" operator="equal">
      <formula>D149</formula>
    </cfRule>
  </conditionalFormatting>
  <conditionalFormatting sqref="F142">
    <cfRule type="cellIs" dxfId="190" priority="24" operator="equal">
      <formula>E142</formula>
    </cfRule>
  </conditionalFormatting>
  <conditionalFormatting sqref="C142">
    <cfRule type="cellIs" dxfId="189" priority="23" operator="equal">
      <formula>B142</formula>
    </cfRule>
  </conditionalFormatting>
  <conditionalFormatting sqref="E142">
    <cfRule type="cellIs" dxfId="188" priority="22" operator="equal">
      <formula>D142</formula>
    </cfRule>
  </conditionalFormatting>
  <conditionalFormatting sqref="E143">
    <cfRule type="cellIs" dxfId="187" priority="20" operator="equal">
      <formula>D143</formula>
    </cfRule>
  </conditionalFormatting>
  <conditionalFormatting sqref="E144">
    <cfRule type="cellIs" dxfId="186" priority="18" operator="equal">
      <formula>D144</formula>
    </cfRule>
  </conditionalFormatting>
  <conditionalFormatting sqref="E145">
    <cfRule type="cellIs" dxfId="185" priority="16" operator="equal">
      <formula>D145</formula>
    </cfRule>
  </conditionalFormatting>
  <conditionalFormatting sqref="E146">
    <cfRule type="cellIs" dxfId="184" priority="14" operator="equal">
      <formula>D146</formula>
    </cfRule>
  </conditionalFormatting>
  <conditionalFormatting sqref="E147">
    <cfRule type="cellIs" dxfId="183" priority="12" operator="equal">
      <formula>D147</formula>
    </cfRule>
  </conditionalFormatting>
  <conditionalFormatting sqref="E148">
    <cfRule type="cellIs" dxfId="182" priority="10" operator="equal">
      <formula>D148</formula>
    </cfRule>
  </conditionalFormatting>
  <conditionalFormatting sqref="C149:C150">
    <cfRule type="cellIs" dxfId="181" priority="9" operator="equal">
      <formula>B149</formula>
    </cfRule>
  </conditionalFormatting>
  <conditionalFormatting sqref="F143">
    <cfRule type="cellIs" dxfId="180" priority="7" operator="equal">
      <formula>E143</formula>
    </cfRule>
  </conditionalFormatting>
  <conditionalFormatting sqref="F144">
    <cfRule type="cellIs" dxfId="179" priority="6" operator="equal">
      <formula>E144</formula>
    </cfRule>
  </conditionalFormatting>
  <conditionalFormatting sqref="F145">
    <cfRule type="cellIs" dxfId="178" priority="5" operator="equal">
      <formula>E145</formula>
    </cfRule>
  </conditionalFormatting>
  <conditionalFormatting sqref="F146">
    <cfRule type="cellIs" dxfId="177" priority="4" operator="equal">
      <formula>E146</formula>
    </cfRule>
  </conditionalFormatting>
  <conditionalFormatting sqref="F147">
    <cfRule type="cellIs" dxfId="176" priority="3" operator="equal">
      <formula>E147</formula>
    </cfRule>
  </conditionalFormatting>
  <conditionalFormatting sqref="F148">
    <cfRule type="cellIs" dxfId="175" priority="2" operator="equal">
      <formula>E148</formula>
    </cfRule>
  </conditionalFormatting>
  <conditionalFormatting sqref="F149:F150">
    <cfRule type="cellIs" dxfId="174" priority="1" operator="equal">
      <formula>E149</formula>
    </cfRule>
  </conditionalFormatting>
  <dataValidations count="1">
    <dataValidation type="list" allowBlank="1" showInputMessage="1" showErrorMessage="1" sqref="AH20" xr:uid="{00000000-0002-0000-0500-000000000000}">
      <formula1>$B$14:$Y$14</formula1>
    </dataValidation>
  </dataValidations>
  <hyperlinks>
    <hyperlink ref="J137" location="Inventory!A1" display="Inventory" xr:uid="{00000000-0004-0000-0500-000000000000}"/>
    <hyperlink ref="J138" location="'VAQ (5 EA-18G) EXPED'!A1" display="Top" xr:uid="{00000000-0004-0000-0500-000001000000}"/>
    <hyperlink ref="H1" location="Inventory!A1" display="Inventory" xr:uid="{00000000-0004-0000-0500-000002000000}"/>
    <hyperlink ref="H2" location="'VAQ (5 EA-18G) EXPED'!A167" display="AMFOM" xr:uid="{00000000-0004-0000-0500-000003000000}"/>
  </hyperlinks>
  <printOptions horizontalCentered="1" verticalCentered="1"/>
  <pageMargins left="0.5" right="0.25" top="0.5" bottom="0.5" header="0.5" footer="0.5"/>
  <pageSetup scale="2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180"/>
  <sheetViews>
    <sheetView showGridLines="0" topLeftCell="A97" zoomScaleNormal="100" zoomScaleSheetLayoutView="40" workbookViewId="0">
      <selection activeCell="A172" sqref="A172"/>
    </sheetView>
  </sheetViews>
  <sheetFormatPr defaultColWidth="8.85546875" defaultRowHeight="12.75" x14ac:dyDescent="0.2"/>
  <cols>
    <col min="1" max="1" width="45.85546875" style="7" customWidth="1"/>
    <col min="2" max="26" width="5.7109375" style="7" customWidth="1"/>
    <col min="27" max="27" width="5.7109375" style="85" customWidth="1"/>
    <col min="28" max="29" width="5.7109375" style="7" customWidth="1"/>
    <col min="30" max="30" width="6.28515625" style="7" bestFit="1" customWidth="1"/>
    <col min="31" max="31" width="5.7109375" style="7" customWidth="1"/>
    <col min="32" max="36" width="20.7109375" style="7" customWidth="1"/>
    <col min="37" max="16384" width="8.85546875" style="7"/>
  </cols>
  <sheetData>
    <row r="1" spans="1:36" s="1" customFormat="1" ht="18.75" x14ac:dyDescent="0.3">
      <c r="A1" s="46" t="s">
        <v>281</v>
      </c>
      <c r="B1" s="46"/>
      <c r="C1" s="46"/>
      <c r="D1" s="46"/>
      <c r="E1" s="46"/>
      <c r="F1" s="46"/>
      <c r="G1" s="26"/>
      <c r="H1" s="80" t="s">
        <v>63</v>
      </c>
      <c r="K1" s="83"/>
      <c r="L1" s="132" t="s">
        <v>2</v>
      </c>
      <c r="M1" s="648">
        <v>44835</v>
      </c>
      <c r="N1" s="649"/>
      <c r="O1" s="650"/>
      <c r="P1" s="650"/>
      <c r="AA1" s="85"/>
      <c r="AC1" s="312" t="s">
        <v>64</v>
      </c>
      <c r="AD1" s="313">
        <v>5.05</v>
      </c>
    </row>
    <row r="2" spans="1:36" s="3" customFormat="1" x14ac:dyDescent="0.2">
      <c r="A2" s="43" t="s">
        <v>65</v>
      </c>
      <c r="B2" s="28">
        <v>6</v>
      </c>
      <c r="C2" s="29"/>
      <c r="D2" s="29"/>
      <c r="E2" s="29"/>
      <c r="F2" s="29"/>
      <c r="H2" s="343" t="s">
        <v>3</v>
      </c>
      <c r="N2" s="4"/>
      <c r="O2" s="4"/>
      <c r="P2" s="4"/>
      <c r="Q2" s="4"/>
      <c r="R2" s="2"/>
      <c r="S2" s="2"/>
      <c r="T2" s="2"/>
      <c r="U2" s="2"/>
      <c r="V2" s="2"/>
      <c r="W2" s="2"/>
      <c r="X2" s="2"/>
      <c r="Y2" s="2"/>
      <c r="Z2" s="2"/>
      <c r="AA2" s="86"/>
    </row>
    <row r="3" spans="1:36" s="3" customFormat="1" ht="11.25" x14ac:dyDescent="0.2">
      <c r="A3" s="43" t="s">
        <v>66</v>
      </c>
      <c r="B3" s="31">
        <v>2.1</v>
      </c>
      <c r="C3" s="29"/>
      <c r="D3" s="29"/>
      <c r="E3" s="29"/>
      <c r="F3" s="29"/>
      <c r="I3" s="2"/>
      <c r="J3" s="2"/>
      <c r="K3" s="2"/>
      <c r="N3" s="4"/>
      <c r="O3" s="4"/>
      <c r="P3" s="4"/>
      <c r="Q3" s="4"/>
      <c r="R3" s="2"/>
      <c r="S3" s="2"/>
      <c r="T3" s="2"/>
      <c r="U3" s="2"/>
      <c r="V3" s="2"/>
      <c r="W3" s="2"/>
      <c r="X3" s="2"/>
      <c r="Y3" s="2"/>
      <c r="Z3" s="2"/>
      <c r="AA3" s="86"/>
    </row>
    <row r="4" spans="1:36" s="3" customFormat="1" ht="11.25" x14ac:dyDescent="0.2">
      <c r="A4" s="43" t="s">
        <v>67</v>
      </c>
      <c r="B4" s="44">
        <f>ROUND(B2*B3,0)</f>
        <v>13</v>
      </c>
      <c r="C4" s="29"/>
      <c r="D4" s="29"/>
      <c r="E4" s="29"/>
      <c r="F4" s="29"/>
      <c r="G4" s="2"/>
      <c r="H4" s="2"/>
      <c r="I4" s="2"/>
      <c r="J4" s="2"/>
      <c r="K4" s="2"/>
      <c r="N4" s="4"/>
      <c r="O4" s="4"/>
      <c r="P4" s="4"/>
      <c r="Q4" s="4"/>
      <c r="R4" s="2"/>
      <c r="S4" s="2"/>
      <c r="T4" s="2"/>
      <c r="U4" s="2"/>
      <c r="V4" s="2"/>
      <c r="W4" s="2"/>
      <c r="X4" s="2"/>
      <c r="Y4" s="2"/>
      <c r="Z4" s="2"/>
      <c r="AA4" s="86"/>
    </row>
    <row r="5" spans="1:36" s="3" customFormat="1" ht="11.25" x14ac:dyDescent="0.2">
      <c r="A5" s="43" t="s">
        <v>68</v>
      </c>
      <c r="B5" s="29">
        <v>1.9</v>
      </c>
      <c r="C5" s="32"/>
      <c r="D5" s="29"/>
      <c r="E5" s="29"/>
      <c r="F5" s="29"/>
      <c r="G5" s="2"/>
      <c r="H5" s="2"/>
      <c r="I5" s="2"/>
      <c r="J5" s="2"/>
      <c r="K5" s="2"/>
      <c r="N5" s="4"/>
      <c r="O5" s="4"/>
      <c r="P5" s="4"/>
      <c r="Q5" s="4"/>
      <c r="R5" s="2"/>
      <c r="S5" s="2"/>
      <c r="T5" s="2"/>
      <c r="U5" s="2"/>
      <c r="V5" s="2"/>
      <c r="W5" s="2"/>
      <c r="X5" s="2"/>
      <c r="Y5" s="2"/>
      <c r="Z5" s="2"/>
      <c r="AA5" s="86"/>
    </row>
    <row r="6" spans="1:36" s="3" customFormat="1" ht="11.25" x14ac:dyDescent="0.2">
      <c r="A6" s="45" t="s">
        <v>69</v>
      </c>
      <c r="B6" s="29">
        <v>25</v>
      </c>
      <c r="C6" s="32"/>
      <c r="D6" s="29"/>
      <c r="E6" s="29"/>
      <c r="F6" s="29"/>
      <c r="G6" s="2"/>
      <c r="H6" s="2"/>
      <c r="I6" s="2"/>
      <c r="J6" s="2"/>
      <c r="K6" s="2"/>
      <c r="L6" s="4"/>
      <c r="M6" s="4"/>
      <c r="N6" s="4"/>
      <c r="O6" s="4"/>
      <c r="P6" s="4"/>
      <c r="Q6" s="4"/>
      <c r="R6" s="2"/>
      <c r="S6" s="2"/>
      <c r="T6" s="2"/>
      <c r="U6" s="2"/>
      <c r="V6" s="2"/>
      <c r="W6" s="2"/>
      <c r="X6" s="2"/>
      <c r="Y6" s="2"/>
      <c r="Z6" s="2"/>
      <c r="AA6" s="86"/>
      <c r="AB6" s="59"/>
    </row>
    <row r="7" spans="1:36" s="3" customFormat="1" ht="11.25" x14ac:dyDescent="0.2">
      <c r="A7" s="43" t="s">
        <v>70</v>
      </c>
      <c r="B7" s="29">
        <f>B6*B4</f>
        <v>325</v>
      </c>
      <c r="C7" s="34"/>
      <c r="D7" s="34"/>
      <c r="E7" s="29"/>
      <c r="F7" s="29"/>
      <c r="G7" s="2"/>
      <c r="H7" s="2"/>
      <c r="I7" s="2"/>
      <c r="J7" s="2"/>
      <c r="K7" s="2"/>
      <c r="L7" s="2"/>
      <c r="M7" s="2"/>
      <c r="N7" s="2"/>
      <c r="O7" s="2"/>
      <c r="P7" s="2"/>
      <c r="Q7" s="2"/>
      <c r="R7" s="2"/>
      <c r="S7" s="2"/>
      <c r="T7" s="2"/>
      <c r="U7" s="2"/>
      <c r="V7" s="2"/>
      <c r="W7" s="2"/>
      <c r="X7" s="2"/>
      <c r="Y7" s="2"/>
      <c r="Z7" s="2"/>
      <c r="AA7" s="86"/>
    </row>
    <row r="8" spans="1:36" s="3" customFormat="1" ht="11.25" x14ac:dyDescent="0.2">
      <c r="A8" s="43" t="s">
        <v>71</v>
      </c>
      <c r="B8" s="28">
        <f>B7/B5</f>
        <v>171.05263157894737</v>
      </c>
      <c r="C8" s="29"/>
      <c r="D8" s="34"/>
      <c r="E8" s="29"/>
      <c r="F8" s="29"/>
      <c r="G8" s="2"/>
      <c r="H8" s="2"/>
      <c r="I8" s="2"/>
      <c r="J8" s="2"/>
      <c r="K8" s="2"/>
      <c r="L8" s="2"/>
      <c r="M8" s="2"/>
      <c r="N8" s="2"/>
      <c r="O8" s="2"/>
      <c r="P8" s="2"/>
      <c r="Q8" s="2"/>
      <c r="R8" s="2"/>
      <c r="S8" s="2"/>
      <c r="T8" s="2"/>
      <c r="U8" s="2"/>
      <c r="V8" s="2"/>
      <c r="W8" s="2"/>
      <c r="X8" s="2"/>
      <c r="Y8" s="2"/>
      <c r="Z8" s="2"/>
      <c r="AA8" s="86"/>
    </row>
    <row r="9" spans="1:36" s="3" customFormat="1" ht="11.25" x14ac:dyDescent="0.2">
      <c r="A9" s="43" t="s">
        <v>72</v>
      </c>
      <c r="B9" s="28">
        <f>B4*C9</f>
        <v>13</v>
      </c>
      <c r="C9" s="29">
        <v>1</v>
      </c>
      <c r="D9" s="150" t="s">
        <v>73</v>
      </c>
      <c r="E9" s="29"/>
      <c r="F9" s="2"/>
      <c r="G9" s="56" t="s">
        <v>74</v>
      </c>
      <c r="H9" s="57">
        <v>0.4</v>
      </c>
      <c r="I9" s="2"/>
      <c r="J9" s="2"/>
      <c r="K9" s="2"/>
      <c r="L9" s="2"/>
      <c r="M9" s="2"/>
      <c r="N9" s="2"/>
      <c r="O9" s="2"/>
      <c r="P9" s="2"/>
      <c r="Q9" s="2"/>
      <c r="R9" s="2"/>
      <c r="S9" s="2"/>
      <c r="T9" s="2"/>
      <c r="U9" s="2"/>
      <c r="V9" s="2"/>
      <c r="W9" s="2"/>
      <c r="X9" s="2"/>
      <c r="Y9" s="2"/>
      <c r="Z9" s="2"/>
      <c r="AA9" s="86"/>
    </row>
    <row r="10" spans="1:36" s="3" customFormat="1" ht="11.25" x14ac:dyDescent="0.2">
      <c r="A10" s="43" t="s">
        <v>75</v>
      </c>
      <c r="B10" s="28">
        <f>B4*C10</f>
        <v>35.1</v>
      </c>
      <c r="C10" s="29">
        <v>2.7</v>
      </c>
      <c r="D10" s="150" t="s">
        <v>73</v>
      </c>
      <c r="E10" s="29"/>
      <c r="F10" s="2"/>
      <c r="G10" s="58" t="s">
        <v>76</v>
      </c>
      <c r="H10" s="57">
        <v>0.29899999999999999</v>
      </c>
      <c r="I10" s="2"/>
      <c r="J10" s="2"/>
      <c r="K10" s="2"/>
      <c r="L10" s="2"/>
      <c r="M10" s="2"/>
      <c r="N10" s="2"/>
      <c r="O10" s="2"/>
      <c r="P10" s="2"/>
      <c r="Q10" s="2"/>
      <c r="R10" s="2"/>
      <c r="S10" s="2"/>
      <c r="T10" s="2"/>
      <c r="U10" s="2"/>
      <c r="V10" s="2"/>
      <c r="W10" s="2"/>
      <c r="X10" s="2"/>
      <c r="Y10" s="2"/>
      <c r="Z10" s="2"/>
      <c r="AA10" s="86"/>
    </row>
    <row r="11" spans="1:36" s="3" customFormat="1" ht="11.25" x14ac:dyDescent="0.2">
      <c r="A11" s="149" t="s">
        <v>77</v>
      </c>
      <c r="B11" s="3">
        <f>C11*B4</f>
        <v>2.6</v>
      </c>
      <c r="C11" s="4">
        <v>0.2</v>
      </c>
      <c r="D11" s="150" t="s">
        <v>73</v>
      </c>
      <c r="E11" s="29"/>
      <c r="F11" s="2"/>
      <c r="G11" s="58"/>
      <c r="H11" s="57"/>
      <c r="I11" s="2"/>
      <c r="J11" s="2"/>
      <c r="K11" s="2"/>
      <c r="L11" s="2"/>
      <c r="M11" s="2"/>
      <c r="N11" s="2"/>
      <c r="O11" s="2"/>
      <c r="P11" s="2"/>
      <c r="Q11" s="2"/>
      <c r="R11" s="2"/>
      <c r="S11" s="2"/>
      <c r="T11" s="2"/>
      <c r="U11" s="2"/>
      <c r="V11" s="2"/>
      <c r="W11" s="2"/>
      <c r="X11" s="2"/>
      <c r="Y11" s="2"/>
      <c r="Z11" s="2"/>
      <c r="AA11" s="86"/>
    </row>
    <row r="12" spans="1:36" s="3" customFormat="1" ht="11.25" x14ac:dyDescent="0.2">
      <c r="A12" s="40"/>
      <c r="B12" s="41"/>
      <c r="C12" s="39"/>
      <c r="D12" s="41"/>
      <c r="E12" s="39"/>
      <c r="F12" s="39"/>
      <c r="G12" s="2"/>
      <c r="H12" s="2"/>
      <c r="I12" s="2"/>
      <c r="J12" s="2"/>
      <c r="K12" s="2"/>
      <c r="L12" s="2"/>
      <c r="M12" s="2"/>
      <c r="N12" s="2"/>
      <c r="O12" s="2"/>
      <c r="P12" s="2"/>
      <c r="Q12" s="2"/>
      <c r="R12" s="2"/>
      <c r="S12" s="2"/>
      <c r="T12" s="2"/>
      <c r="U12" s="2"/>
      <c r="V12" s="2"/>
      <c r="W12" s="2"/>
      <c r="X12" s="2"/>
      <c r="Y12" s="2"/>
      <c r="Z12" s="2"/>
      <c r="AA12" s="86"/>
    </row>
    <row r="13" spans="1:36" s="5" customFormat="1" ht="59.25" x14ac:dyDescent="0.4">
      <c r="A13" s="532" t="s">
        <v>79</v>
      </c>
      <c r="B13" s="533" t="s">
        <v>80</v>
      </c>
      <c r="C13" s="533" t="s">
        <v>80</v>
      </c>
      <c r="D13" s="533" t="s">
        <v>80</v>
      </c>
      <c r="E13" s="533" t="s">
        <v>80</v>
      </c>
      <c r="F13" s="533" t="s">
        <v>81</v>
      </c>
      <c r="G13" s="533" t="s">
        <v>81</v>
      </c>
      <c r="H13" s="533" t="s">
        <v>81</v>
      </c>
      <c r="I13" s="533" t="s">
        <v>81</v>
      </c>
      <c r="J13" s="533" t="s">
        <v>81</v>
      </c>
      <c r="K13" s="414" t="s">
        <v>83</v>
      </c>
      <c r="L13" s="414" t="s">
        <v>83</v>
      </c>
      <c r="M13" s="414" t="s">
        <v>83</v>
      </c>
      <c r="N13" s="533" t="s">
        <v>122</v>
      </c>
      <c r="O13" s="533" t="s">
        <v>122</v>
      </c>
      <c r="P13" s="533" t="s">
        <v>122</v>
      </c>
      <c r="Q13" s="533" t="s">
        <v>85</v>
      </c>
      <c r="R13" s="533" t="s">
        <v>85</v>
      </c>
      <c r="S13" s="533" t="s">
        <v>85</v>
      </c>
      <c r="T13" s="533" t="s">
        <v>85</v>
      </c>
      <c r="U13" s="533" t="s">
        <v>85</v>
      </c>
      <c r="V13" s="533" t="s">
        <v>85</v>
      </c>
      <c r="W13" s="533" t="s">
        <v>122</v>
      </c>
      <c r="X13" s="533" t="s">
        <v>122</v>
      </c>
      <c r="Y13" s="548" t="s">
        <v>122</v>
      </c>
      <c r="Z13" s="416" t="s">
        <v>86</v>
      </c>
      <c r="AA13" s="85"/>
      <c r="AF13" s="87"/>
      <c r="AG13" s="88" t="s">
        <v>87</v>
      </c>
      <c r="AH13" s="89"/>
      <c r="AI13" s="89"/>
      <c r="AJ13" s="89"/>
    </row>
    <row r="14" spans="1:36" s="6" customFormat="1" ht="12" x14ac:dyDescent="0.2">
      <c r="A14" s="532" t="s">
        <v>88</v>
      </c>
      <c r="B14" s="534" t="s">
        <v>89</v>
      </c>
      <c r="C14" s="534" t="s">
        <v>90</v>
      </c>
      <c r="D14" s="534" t="s">
        <v>91</v>
      </c>
      <c r="E14" s="534" t="s">
        <v>92</v>
      </c>
      <c r="F14" s="534" t="s">
        <v>93</v>
      </c>
      <c r="G14" s="534" t="s">
        <v>94</v>
      </c>
      <c r="H14" s="534" t="s">
        <v>95</v>
      </c>
      <c r="I14" s="534" t="s">
        <v>96</v>
      </c>
      <c r="J14" s="534" t="s">
        <v>97</v>
      </c>
      <c r="K14" s="534" t="s">
        <v>98</v>
      </c>
      <c r="L14" s="534" t="s">
        <v>99</v>
      </c>
      <c r="M14" s="534" t="s">
        <v>100</v>
      </c>
      <c r="N14" s="534" t="s">
        <v>101</v>
      </c>
      <c r="O14" s="534" t="s">
        <v>102</v>
      </c>
      <c r="P14" s="534" t="s">
        <v>104</v>
      </c>
      <c r="Q14" s="534" t="s">
        <v>105</v>
      </c>
      <c r="R14" s="534" t="s">
        <v>106</v>
      </c>
      <c r="S14" s="534" t="s">
        <v>107</v>
      </c>
      <c r="T14" s="534" t="s">
        <v>108</v>
      </c>
      <c r="U14" s="534" t="s">
        <v>109</v>
      </c>
      <c r="V14" s="534" t="s">
        <v>110</v>
      </c>
      <c r="W14" s="534" t="s">
        <v>111</v>
      </c>
      <c r="X14" s="534" t="s">
        <v>273</v>
      </c>
      <c r="Y14" s="549" t="s">
        <v>112</v>
      </c>
      <c r="Z14" s="417" t="s">
        <v>116</v>
      </c>
      <c r="AA14" s="90">
        <v>1</v>
      </c>
      <c r="AF14" s="87"/>
      <c r="AG14" s="91"/>
      <c r="AH14" s="91"/>
      <c r="AI14" s="91"/>
      <c r="AJ14" s="91"/>
    </row>
    <row r="15" spans="1:36" s="6" customFormat="1" ht="12" x14ac:dyDescent="0.2">
      <c r="A15" s="532" t="s">
        <v>117</v>
      </c>
      <c r="B15" s="535">
        <v>1</v>
      </c>
      <c r="C15" s="535">
        <v>2</v>
      </c>
      <c r="D15" s="535">
        <v>3</v>
      </c>
      <c r="E15" s="535">
        <v>4</v>
      </c>
      <c r="F15" s="535">
        <v>5</v>
      </c>
      <c r="G15" s="535">
        <v>6</v>
      </c>
      <c r="H15" s="535">
        <v>7</v>
      </c>
      <c r="I15" s="535">
        <v>8</v>
      </c>
      <c r="J15" s="535">
        <v>9</v>
      </c>
      <c r="K15" s="535">
        <v>10</v>
      </c>
      <c r="L15" s="535">
        <v>11</v>
      </c>
      <c r="M15" s="535">
        <v>12</v>
      </c>
      <c r="N15" s="535">
        <v>13</v>
      </c>
      <c r="O15" s="535">
        <v>14</v>
      </c>
      <c r="P15" s="535">
        <v>15</v>
      </c>
      <c r="Q15" s="535">
        <v>16</v>
      </c>
      <c r="R15" s="535">
        <v>17</v>
      </c>
      <c r="S15" s="535">
        <v>18</v>
      </c>
      <c r="T15" s="535">
        <v>19</v>
      </c>
      <c r="U15" s="535">
        <v>20</v>
      </c>
      <c r="V15" s="535">
        <v>21</v>
      </c>
      <c r="W15" s="535">
        <v>22</v>
      </c>
      <c r="X15" s="535">
        <v>23</v>
      </c>
      <c r="Y15" s="550">
        <v>24</v>
      </c>
      <c r="Z15" s="417">
        <v>28</v>
      </c>
      <c r="AA15" s="92">
        <v>2</v>
      </c>
      <c r="AF15" s="87"/>
      <c r="AG15" s="91"/>
      <c r="AH15" s="91"/>
      <c r="AI15" s="91"/>
      <c r="AJ15" s="91"/>
    </row>
    <row r="16" spans="1:36" ht="12" x14ac:dyDescent="0.2">
      <c r="A16" s="532" t="s">
        <v>118</v>
      </c>
      <c r="B16" s="654" t="s">
        <v>119</v>
      </c>
      <c r="C16" s="659"/>
      <c r="D16" s="659"/>
      <c r="E16" s="655"/>
      <c r="F16" s="656" t="s">
        <v>274</v>
      </c>
      <c r="G16" s="657"/>
      <c r="H16" s="656" t="s">
        <v>275</v>
      </c>
      <c r="I16" s="657"/>
      <c r="J16" s="658"/>
      <c r="K16" s="654" t="s">
        <v>276</v>
      </c>
      <c r="L16" s="659"/>
      <c r="M16" s="655"/>
      <c r="N16" s="656" t="s">
        <v>277</v>
      </c>
      <c r="O16" s="657"/>
      <c r="P16" s="658"/>
      <c r="Q16" s="656" t="s">
        <v>123</v>
      </c>
      <c r="R16" s="657"/>
      <c r="S16" s="657"/>
      <c r="T16" s="657"/>
      <c r="U16" s="657"/>
      <c r="V16" s="658"/>
      <c r="W16" s="656" t="s">
        <v>278</v>
      </c>
      <c r="X16" s="657"/>
      <c r="Y16" s="657"/>
      <c r="Z16" s="417" t="s">
        <v>124</v>
      </c>
      <c r="AA16" s="90">
        <v>3</v>
      </c>
      <c r="AF16" s="93"/>
      <c r="AG16" s="94"/>
      <c r="AH16" s="95"/>
      <c r="AI16" s="87"/>
      <c r="AJ16" s="87"/>
    </row>
    <row r="17" spans="1:37" x14ac:dyDescent="0.2">
      <c r="A17" s="97" t="s">
        <v>125</v>
      </c>
      <c r="B17" s="450"/>
      <c r="C17" s="247"/>
      <c r="D17" s="247"/>
      <c r="E17" s="247"/>
      <c r="F17" s="247"/>
      <c r="G17" s="247"/>
      <c r="H17" s="247"/>
      <c r="I17" s="247"/>
      <c r="J17" s="247"/>
      <c r="K17" s="247"/>
      <c r="L17" s="247"/>
      <c r="M17" s="247"/>
      <c r="N17" s="247"/>
      <c r="O17" s="247"/>
      <c r="P17" s="247"/>
      <c r="Q17" s="248"/>
      <c r="R17" s="248"/>
      <c r="S17" s="248"/>
      <c r="T17" s="248"/>
      <c r="U17" s="248"/>
      <c r="V17" s="551"/>
      <c r="W17" s="247"/>
      <c r="X17" s="247"/>
      <c r="Y17" s="247"/>
      <c r="Z17" s="421"/>
      <c r="AA17" s="92">
        <v>4</v>
      </c>
      <c r="AF17" s="93"/>
      <c r="AG17" s="629" t="s">
        <v>126</v>
      </c>
      <c r="AH17" s="629"/>
      <c r="AI17" s="629"/>
      <c r="AJ17" s="629"/>
    </row>
    <row r="18" spans="1:37" s="99" customFormat="1" ht="12" x14ac:dyDescent="0.2">
      <c r="A18" s="418" t="s">
        <v>127</v>
      </c>
      <c r="B18" s="419">
        <f t="shared" ref="B18:P18" si="0">IF(B96&lt;80,B97,MIN(B96,80))</f>
        <v>0</v>
      </c>
      <c r="C18" s="419">
        <f t="shared" si="0"/>
        <v>0</v>
      </c>
      <c r="D18" s="419">
        <f t="shared" si="0"/>
        <v>0</v>
      </c>
      <c r="E18" s="419">
        <f t="shared" si="0"/>
        <v>0</v>
      </c>
      <c r="F18" s="419">
        <f t="shared" si="0"/>
        <v>0</v>
      </c>
      <c r="G18" s="419">
        <f t="shared" si="0"/>
        <v>1.7452560389543308</v>
      </c>
      <c r="H18" s="419">
        <f t="shared" si="0"/>
        <v>6.7452560389543308</v>
      </c>
      <c r="I18" s="419">
        <f t="shared" si="0"/>
        <v>11.745256038954331</v>
      </c>
      <c r="J18" s="419">
        <f t="shared" si="0"/>
        <v>26.745256038954331</v>
      </c>
      <c r="K18" s="419">
        <f t="shared" si="0"/>
        <v>46.745256038954331</v>
      </c>
      <c r="L18" s="419">
        <f t="shared" si="0"/>
        <v>56.745256038954331</v>
      </c>
      <c r="M18" s="419">
        <f t="shared" si="0"/>
        <v>80</v>
      </c>
      <c r="N18" s="419">
        <f t="shared" si="0"/>
        <v>80</v>
      </c>
      <c r="O18" s="419">
        <f t="shared" si="0"/>
        <v>80</v>
      </c>
      <c r="P18" s="419">
        <f t="shared" si="0"/>
        <v>80</v>
      </c>
      <c r="Q18" s="419">
        <f t="shared" ref="Q18:V18" si="1">IF(T96&lt;80,T97,MIN(T96,80))</f>
        <v>80</v>
      </c>
      <c r="R18" s="419">
        <f t="shared" si="1"/>
        <v>80</v>
      </c>
      <c r="S18" s="419">
        <f t="shared" si="1"/>
        <v>80</v>
      </c>
      <c r="T18" s="419">
        <f t="shared" si="1"/>
        <v>80</v>
      </c>
      <c r="U18" s="419">
        <f t="shared" si="1"/>
        <v>80</v>
      </c>
      <c r="V18" s="419">
        <f t="shared" si="1"/>
        <v>80</v>
      </c>
      <c r="W18" s="419">
        <f>IF(S96&lt;80,S97,MIN(S96,80))</f>
        <v>80</v>
      </c>
      <c r="X18" s="419">
        <f>IF(Q96&lt;80,Q97,MIN(Q96,80))</f>
        <v>80</v>
      </c>
      <c r="Y18" s="420">
        <f>IF(R96&lt;80,R97,MIN(R96,80))</f>
        <v>80</v>
      </c>
      <c r="Z18" s="419">
        <f>IF(Z96&lt;80,Z97,MIN(Z96,80))</f>
        <v>0</v>
      </c>
      <c r="AA18" s="90">
        <v>5</v>
      </c>
      <c r="AF18" s="93"/>
      <c r="AG18" s="102"/>
      <c r="AH18" s="102"/>
      <c r="AI18" s="101"/>
      <c r="AJ18" s="101"/>
    </row>
    <row r="19" spans="1:37" ht="12" x14ac:dyDescent="0.2">
      <c r="A19" s="421" t="s">
        <v>128</v>
      </c>
      <c r="B19" s="552">
        <v>0.5</v>
      </c>
      <c r="C19" s="552">
        <v>0.5</v>
      </c>
      <c r="D19" s="552">
        <v>0.5</v>
      </c>
      <c r="E19" s="552">
        <v>0.5</v>
      </c>
      <c r="F19" s="552">
        <v>0.55000000000000004</v>
      </c>
      <c r="G19" s="552">
        <v>0.55000000000000004</v>
      </c>
      <c r="H19" s="552">
        <v>0.6</v>
      </c>
      <c r="I19" s="552">
        <v>0.65</v>
      </c>
      <c r="J19" s="552">
        <v>0.65</v>
      </c>
      <c r="K19" s="552">
        <v>0.7</v>
      </c>
      <c r="L19" s="552">
        <v>0.7</v>
      </c>
      <c r="M19" s="552">
        <v>0.7</v>
      </c>
      <c r="N19" s="552">
        <v>0.7</v>
      </c>
      <c r="O19" s="552">
        <v>0.7</v>
      </c>
      <c r="P19" s="552">
        <v>0.7</v>
      </c>
      <c r="Q19" s="552">
        <v>0.8</v>
      </c>
      <c r="R19" s="552">
        <v>0.8</v>
      </c>
      <c r="S19" s="552">
        <v>0.8</v>
      </c>
      <c r="T19" s="552">
        <v>0.8</v>
      </c>
      <c r="U19" s="552">
        <v>0.8</v>
      </c>
      <c r="V19" s="552">
        <v>0.7</v>
      </c>
      <c r="W19" s="552">
        <v>0.4</v>
      </c>
      <c r="X19" s="552">
        <v>0.7</v>
      </c>
      <c r="Y19" s="322">
        <v>0.7</v>
      </c>
      <c r="Z19" s="425">
        <f>H9</f>
        <v>0.4</v>
      </c>
      <c r="AA19" s="92">
        <v>6</v>
      </c>
      <c r="AF19" s="93"/>
      <c r="AG19" s="96" t="s">
        <v>129</v>
      </c>
      <c r="AH19" s="96"/>
      <c r="AI19" s="103"/>
      <c r="AJ19" s="103"/>
    </row>
    <row r="20" spans="1:37" ht="12" x14ac:dyDescent="0.2">
      <c r="A20" s="423" t="s">
        <v>130</v>
      </c>
      <c r="B20" s="553"/>
      <c r="C20" s="155"/>
      <c r="D20" s="155"/>
      <c r="E20" s="155"/>
      <c r="F20" s="155"/>
      <c r="G20" s="155"/>
      <c r="H20" s="155"/>
      <c r="I20" s="155"/>
      <c r="J20" s="155"/>
      <c r="K20" s="155"/>
      <c r="L20" s="155"/>
      <c r="M20" s="155"/>
      <c r="N20" s="155"/>
      <c r="O20" s="155"/>
      <c r="P20" s="155"/>
      <c r="Q20" s="155"/>
      <c r="R20" s="155"/>
      <c r="S20" s="155"/>
      <c r="T20" s="155"/>
      <c r="U20" s="155"/>
      <c r="V20" s="554"/>
      <c r="W20" s="155"/>
      <c r="X20" s="155"/>
      <c r="Y20" s="155"/>
      <c r="Z20" s="425"/>
      <c r="AA20" s="90">
        <v>7</v>
      </c>
      <c r="AF20" s="93"/>
      <c r="AG20" s="87"/>
      <c r="AH20" s="426" t="s">
        <v>112</v>
      </c>
      <c r="AI20" s="104" t="s">
        <v>131</v>
      </c>
      <c r="AJ20" s="87"/>
    </row>
    <row r="21" spans="1:37" s="10" customFormat="1" ht="12" x14ac:dyDescent="0.2">
      <c r="A21" s="427" t="s">
        <v>132</v>
      </c>
      <c r="B21" s="152">
        <f t="shared" ref="B21:Z21" si="2">B19*$B$8</f>
        <v>85.526315789473685</v>
      </c>
      <c r="C21" s="152">
        <f t="shared" si="2"/>
        <v>85.526315789473685</v>
      </c>
      <c r="D21" s="152">
        <f t="shared" si="2"/>
        <v>85.526315789473685</v>
      </c>
      <c r="E21" s="152">
        <f t="shared" si="2"/>
        <v>85.526315789473685</v>
      </c>
      <c r="F21" s="152">
        <f t="shared" si="2"/>
        <v>94.078947368421055</v>
      </c>
      <c r="G21" s="152">
        <f t="shared" si="2"/>
        <v>94.078947368421055</v>
      </c>
      <c r="H21" s="152">
        <f t="shared" si="2"/>
        <v>102.63157894736842</v>
      </c>
      <c r="I21" s="152">
        <f t="shared" si="2"/>
        <v>111.18421052631579</v>
      </c>
      <c r="J21" s="152">
        <f t="shared" si="2"/>
        <v>111.18421052631579</v>
      </c>
      <c r="K21" s="152">
        <f t="shared" si="2"/>
        <v>119.73684210526315</v>
      </c>
      <c r="L21" s="152">
        <f t="shared" si="2"/>
        <v>119.73684210526315</v>
      </c>
      <c r="M21" s="152">
        <f t="shared" si="2"/>
        <v>119.73684210526315</v>
      </c>
      <c r="N21" s="152">
        <f t="shared" si="2"/>
        <v>119.73684210526315</v>
      </c>
      <c r="O21" s="152">
        <f t="shared" si="2"/>
        <v>119.73684210526315</v>
      </c>
      <c r="P21" s="152">
        <f t="shared" si="2"/>
        <v>119.73684210526315</v>
      </c>
      <c r="Q21" s="152">
        <f t="shared" si="2"/>
        <v>136.84210526315789</v>
      </c>
      <c r="R21" s="152">
        <f t="shared" si="2"/>
        <v>136.84210526315789</v>
      </c>
      <c r="S21" s="152">
        <f t="shared" si="2"/>
        <v>136.84210526315789</v>
      </c>
      <c r="T21" s="152">
        <f t="shared" si="2"/>
        <v>136.84210526315789</v>
      </c>
      <c r="U21" s="152">
        <f t="shared" si="2"/>
        <v>136.84210526315789</v>
      </c>
      <c r="V21" s="152">
        <f t="shared" si="2"/>
        <v>119.73684210526315</v>
      </c>
      <c r="W21" s="152">
        <f>W19*$B$8</f>
        <v>68.421052631578945</v>
      </c>
      <c r="X21" s="152">
        <f>X19*$B$8</f>
        <v>119.73684210526315</v>
      </c>
      <c r="Y21" s="323">
        <f>Y19*$B$8</f>
        <v>119.73684210526315</v>
      </c>
      <c r="Z21" s="428">
        <f t="shared" si="2"/>
        <v>68.421052631578945</v>
      </c>
      <c r="AA21" s="92">
        <v>8</v>
      </c>
      <c r="AF21" s="93"/>
      <c r="AG21" s="87"/>
      <c r="AH21" s="87"/>
      <c r="AI21" s="87"/>
      <c r="AJ21" s="87"/>
    </row>
    <row r="22" spans="1:37" s="11" customFormat="1" ht="12" x14ac:dyDescent="0.2">
      <c r="A22" s="427" t="s">
        <v>133</v>
      </c>
      <c r="B22" s="429">
        <f t="shared" ref="B22:Z22" si="3">B21*$B$5</f>
        <v>162.5</v>
      </c>
      <c r="C22" s="429">
        <f t="shared" si="3"/>
        <v>162.5</v>
      </c>
      <c r="D22" s="429">
        <f t="shared" si="3"/>
        <v>162.5</v>
      </c>
      <c r="E22" s="429">
        <f t="shared" si="3"/>
        <v>162.5</v>
      </c>
      <c r="F22" s="429">
        <f t="shared" si="3"/>
        <v>178.75</v>
      </c>
      <c r="G22" s="429">
        <f t="shared" si="3"/>
        <v>178.75</v>
      </c>
      <c r="H22" s="429">
        <f t="shared" si="3"/>
        <v>195</v>
      </c>
      <c r="I22" s="429">
        <f t="shared" si="3"/>
        <v>211.25</v>
      </c>
      <c r="J22" s="429">
        <f t="shared" si="3"/>
        <v>211.25</v>
      </c>
      <c r="K22" s="429">
        <f t="shared" si="3"/>
        <v>227.49999999999997</v>
      </c>
      <c r="L22" s="429">
        <f t="shared" si="3"/>
        <v>227.49999999999997</v>
      </c>
      <c r="M22" s="429">
        <f t="shared" si="3"/>
        <v>227.49999999999997</v>
      </c>
      <c r="N22" s="429">
        <f t="shared" si="3"/>
        <v>227.49999999999997</v>
      </c>
      <c r="O22" s="429">
        <f t="shared" si="3"/>
        <v>227.49999999999997</v>
      </c>
      <c r="P22" s="429">
        <f t="shared" si="3"/>
        <v>227.49999999999997</v>
      </c>
      <c r="Q22" s="429">
        <f t="shared" si="3"/>
        <v>260</v>
      </c>
      <c r="R22" s="429">
        <f t="shared" si="3"/>
        <v>260</v>
      </c>
      <c r="S22" s="429">
        <f t="shared" si="3"/>
        <v>260</v>
      </c>
      <c r="T22" s="429">
        <f t="shared" si="3"/>
        <v>260</v>
      </c>
      <c r="U22" s="429">
        <f t="shared" si="3"/>
        <v>260</v>
      </c>
      <c r="V22" s="429">
        <f t="shared" si="3"/>
        <v>227.49999999999997</v>
      </c>
      <c r="W22" s="429">
        <f>W21*$B$5</f>
        <v>130</v>
      </c>
      <c r="X22" s="429">
        <f>X21*$B$5</f>
        <v>227.49999999999997</v>
      </c>
      <c r="Y22" s="430">
        <f>Y21*$B$5</f>
        <v>227.49999999999997</v>
      </c>
      <c r="Z22" s="429">
        <f t="shared" si="3"/>
        <v>130</v>
      </c>
      <c r="AA22" s="90">
        <v>9</v>
      </c>
      <c r="AF22" s="93"/>
      <c r="AG22" s="431" t="s">
        <v>134</v>
      </c>
      <c r="AH22" s="432">
        <f>HLOOKUP($AH$20,$B$14:$AA$67,AA36,FALSE)</f>
        <v>6</v>
      </c>
      <c r="AI22" s="105"/>
      <c r="AJ22" s="87"/>
    </row>
    <row r="23" spans="1:37" s="11" customFormat="1" ht="12" x14ac:dyDescent="0.2">
      <c r="A23" s="427" t="s">
        <v>135</v>
      </c>
      <c r="B23" s="433">
        <f t="shared" ref="B23:Z23" si="4">$B$9</f>
        <v>13</v>
      </c>
      <c r="C23" s="433">
        <f t="shared" si="4"/>
        <v>13</v>
      </c>
      <c r="D23" s="433">
        <f t="shared" si="4"/>
        <v>13</v>
      </c>
      <c r="E23" s="433">
        <f t="shared" si="4"/>
        <v>13</v>
      </c>
      <c r="F23" s="433">
        <f t="shared" si="4"/>
        <v>13</v>
      </c>
      <c r="G23" s="433">
        <f t="shared" si="4"/>
        <v>13</v>
      </c>
      <c r="H23" s="433">
        <f t="shared" si="4"/>
        <v>13</v>
      </c>
      <c r="I23" s="433">
        <f t="shared" si="4"/>
        <v>13</v>
      </c>
      <c r="J23" s="433">
        <f t="shared" si="4"/>
        <v>13</v>
      </c>
      <c r="K23" s="433">
        <f t="shared" si="4"/>
        <v>13</v>
      </c>
      <c r="L23" s="433">
        <f t="shared" si="4"/>
        <v>13</v>
      </c>
      <c r="M23" s="433">
        <f t="shared" si="4"/>
        <v>13</v>
      </c>
      <c r="N23" s="433">
        <f t="shared" si="4"/>
        <v>13</v>
      </c>
      <c r="O23" s="433">
        <f t="shared" si="4"/>
        <v>13</v>
      </c>
      <c r="P23" s="433">
        <f t="shared" si="4"/>
        <v>13</v>
      </c>
      <c r="Q23" s="433">
        <f t="shared" si="4"/>
        <v>13</v>
      </c>
      <c r="R23" s="433">
        <f t="shared" si="4"/>
        <v>13</v>
      </c>
      <c r="S23" s="433">
        <f t="shared" si="4"/>
        <v>13</v>
      </c>
      <c r="T23" s="433">
        <f t="shared" si="4"/>
        <v>13</v>
      </c>
      <c r="U23" s="433">
        <f t="shared" si="4"/>
        <v>13</v>
      </c>
      <c r="V23" s="433">
        <f t="shared" si="4"/>
        <v>13</v>
      </c>
      <c r="W23" s="433">
        <f t="shared" si="4"/>
        <v>13</v>
      </c>
      <c r="X23" s="433">
        <f t="shared" si="4"/>
        <v>13</v>
      </c>
      <c r="Y23" s="434">
        <f t="shared" si="4"/>
        <v>13</v>
      </c>
      <c r="Z23" s="433">
        <f t="shared" si="4"/>
        <v>13</v>
      </c>
      <c r="AA23" s="92">
        <v>10</v>
      </c>
      <c r="AF23" s="93"/>
      <c r="AG23" s="431" t="s">
        <v>136</v>
      </c>
      <c r="AH23" s="432">
        <f>IF(HLOOKUP($AH$20,$B$14:$AA$67,AA50,FALSE)/HLOOKUP($AH$20,$B$14:$AA$67,AA35,FALSE)&lt;3,ROUND(HLOOKUP($AH$20,$B$14:$AA$67,AA50,FALSE)/HLOOKUP($AH$20,$B$14:$AA$67,AA35,FALSE),0),3)</f>
        <v>0</v>
      </c>
      <c r="AI23" s="96"/>
      <c r="AJ23" s="87"/>
    </row>
    <row r="24" spans="1:37" s="11" customFormat="1" ht="12" x14ac:dyDescent="0.2">
      <c r="A24" s="427" t="s">
        <v>137</v>
      </c>
      <c r="B24" s="433">
        <f t="shared" ref="B24:P24" si="5">IF(ISBLANK(B120),0,$B$10)</f>
        <v>0</v>
      </c>
      <c r="C24" s="433">
        <f t="shared" si="5"/>
        <v>0</v>
      </c>
      <c r="D24" s="433">
        <f t="shared" si="5"/>
        <v>0</v>
      </c>
      <c r="E24" s="433">
        <f t="shared" si="5"/>
        <v>0</v>
      </c>
      <c r="F24" s="433">
        <f t="shared" si="5"/>
        <v>0</v>
      </c>
      <c r="G24" s="433">
        <f t="shared" si="5"/>
        <v>0</v>
      </c>
      <c r="H24" s="433">
        <f t="shared" si="5"/>
        <v>0</v>
      </c>
      <c r="I24" s="433">
        <f t="shared" si="5"/>
        <v>0</v>
      </c>
      <c r="J24" s="433">
        <f t="shared" si="5"/>
        <v>0</v>
      </c>
      <c r="K24" s="433">
        <f t="shared" si="5"/>
        <v>0</v>
      </c>
      <c r="L24" s="433">
        <f t="shared" si="5"/>
        <v>0</v>
      </c>
      <c r="M24" s="433">
        <f t="shared" si="5"/>
        <v>0</v>
      </c>
      <c r="N24" s="433">
        <f t="shared" si="5"/>
        <v>0</v>
      </c>
      <c r="O24" s="433">
        <f t="shared" si="5"/>
        <v>0</v>
      </c>
      <c r="P24" s="433">
        <f t="shared" si="5"/>
        <v>0</v>
      </c>
      <c r="Q24" s="433">
        <f t="shared" ref="Q24:V24" si="6">IF(ISBLANK(T120),0,$B$10)</f>
        <v>35.1</v>
      </c>
      <c r="R24" s="433">
        <f t="shared" si="6"/>
        <v>35.1</v>
      </c>
      <c r="S24" s="433">
        <f t="shared" si="6"/>
        <v>35.1</v>
      </c>
      <c r="T24" s="433">
        <f t="shared" si="6"/>
        <v>35.1</v>
      </c>
      <c r="U24" s="433">
        <f t="shared" si="6"/>
        <v>35.1</v>
      </c>
      <c r="V24" s="433">
        <f t="shared" si="6"/>
        <v>35.1</v>
      </c>
      <c r="W24" s="433">
        <f>IF(ISBLANK(S120),0,$B$10)</f>
        <v>0</v>
      </c>
      <c r="X24" s="433">
        <f>IF(ISBLANK(Q120),0,$B$10)</f>
        <v>0</v>
      </c>
      <c r="Y24" s="434">
        <f>IF(ISBLANK(R120),0,$B$10)</f>
        <v>0</v>
      </c>
      <c r="Z24" s="433">
        <f>IF(ISBLANK(Z120),0,$B$10)</f>
        <v>0</v>
      </c>
      <c r="AA24" s="90">
        <v>11</v>
      </c>
      <c r="AF24" s="93"/>
      <c r="AG24" s="99" t="s">
        <v>138</v>
      </c>
      <c r="AI24" s="34"/>
      <c r="AJ24" s="87"/>
    </row>
    <row r="25" spans="1:37" s="11" customFormat="1" ht="12" x14ac:dyDescent="0.2">
      <c r="A25" s="427" t="s">
        <v>139</v>
      </c>
      <c r="B25" s="429">
        <f t="shared" ref="B25:V25" si="7">B21*$B$5+SUM(B23:B24)</f>
        <v>175.5</v>
      </c>
      <c r="C25" s="429">
        <f t="shared" si="7"/>
        <v>175.5</v>
      </c>
      <c r="D25" s="429">
        <f t="shared" si="7"/>
        <v>175.5</v>
      </c>
      <c r="E25" s="429">
        <f t="shared" si="7"/>
        <v>175.5</v>
      </c>
      <c r="F25" s="429">
        <f t="shared" si="7"/>
        <v>191.75</v>
      </c>
      <c r="G25" s="429">
        <f t="shared" si="7"/>
        <v>191.75</v>
      </c>
      <c r="H25" s="429">
        <f t="shared" si="7"/>
        <v>208</v>
      </c>
      <c r="I25" s="429">
        <f t="shared" si="7"/>
        <v>224.25</v>
      </c>
      <c r="J25" s="429">
        <f t="shared" si="7"/>
        <v>224.25</v>
      </c>
      <c r="K25" s="429">
        <f t="shared" si="7"/>
        <v>240.49999999999997</v>
      </c>
      <c r="L25" s="429">
        <f t="shared" si="7"/>
        <v>240.49999999999997</v>
      </c>
      <c r="M25" s="429">
        <f t="shared" si="7"/>
        <v>240.49999999999997</v>
      </c>
      <c r="N25" s="429">
        <f t="shared" si="7"/>
        <v>240.49999999999997</v>
      </c>
      <c r="O25" s="429">
        <f t="shared" si="7"/>
        <v>240.49999999999997</v>
      </c>
      <c r="P25" s="429">
        <f t="shared" si="7"/>
        <v>240.49999999999997</v>
      </c>
      <c r="Q25" s="429">
        <f t="shared" si="7"/>
        <v>308.10000000000002</v>
      </c>
      <c r="R25" s="429">
        <f t="shared" si="7"/>
        <v>308.10000000000002</v>
      </c>
      <c r="S25" s="429">
        <f t="shared" si="7"/>
        <v>308.10000000000002</v>
      </c>
      <c r="T25" s="429">
        <f t="shared" si="7"/>
        <v>308.10000000000002</v>
      </c>
      <c r="U25" s="429">
        <f t="shared" si="7"/>
        <v>308.10000000000002</v>
      </c>
      <c r="V25" s="429">
        <f t="shared" si="7"/>
        <v>275.59999999999997</v>
      </c>
      <c r="W25" s="429">
        <f>W21*$B$5+SUM(W23:W24)</f>
        <v>143</v>
      </c>
      <c r="X25" s="429">
        <f>X21*$B$5+SUM(X23:X24)</f>
        <v>240.49999999999997</v>
      </c>
      <c r="Y25" s="430">
        <f>Y21*$B$5+SUM(Y23:Y24)</f>
        <v>240.49999999999997</v>
      </c>
      <c r="Z25" s="429">
        <f t="shared" ref="Z25" si="8">Z21*$B$5+SUM(Z23:Z24)</f>
        <v>143</v>
      </c>
      <c r="AA25" s="92">
        <v>12</v>
      </c>
      <c r="AF25" s="93"/>
      <c r="AG25" s="87" t="s">
        <v>140</v>
      </c>
      <c r="AH25" s="106"/>
      <c r="AI25" s="34"/>
      <c r="AJ25" s="87"/>
    </row>
    <row r="26" spans="1:37" s="11" customFormat="1" ht="12" x14ac:dyDescent="0.2">
      <c r="A26" s="12" t="s">
        <v>141</v>
      </c>
      <c r="B26" s="13">
        <f t="shared" ref="B26:P26" si="9">-IF(ISBLANK(B119),0,ROUND(MIN(B$22*$H$10,B$22-$B$7*$H$9),1))</f>
        <v>-32.5</v>
      </c>
      <c r="C26" s="13">
        <f t="shared" si="9"/>
        <v>-32.5</v>
      </c>
      <c r="D26" s="13">
        <f t="shared" si="9"/>
        <v>-32.5</v>
      </c>
      <c r="E26" s="13">
        <f t="shared" si="9"/>
        <v>-32.5</v>
      </c>
      <c r="F26" s="13">
        <f t="shared" si="9"/>
        <v>-48.8</v>
      </c>
      <c r="G26" s="13">
        <f t="shared" si="9"/>
        <v>-48.8</v>
      </c>
      <c r="H26" s="13">
        <f t="shared" si="9"/>
        <v>-58.3</v>
      </c>
      <c r="I26" s="13">
        <f t="shared" si="9"/>
        <v>-63.2</v>
      </c>
      <c r="J26" s="13">
        <f t="shared" si="9"/>
        <v>-63.2</v>
      </c>
      <c r="K26" s="13">
        <f t="shared" si="9"/>
        <v>-68</v>
      </c>
      <c r="L26" s="13">
        <f t="shared" si="9"/>
        <v>-68</v>
      </c>
      <c r="M26" s="13">
        <f t="shared" si="9"/>
        <v>-68</v>
      </c>
      <c r="N26" s="13">
        <f t="shared" si="9"/>
        <v>-68</v>
      </c>
      <c r="O26" s="13">
        <f t="shared" si="9"/>
        <v>-68</v>
      </c>
      <c r="P26" s="13">
        <f t="shared" si="9"/>
        <v>-68</v>
      </c>
      <c r="Q26" s="13">
        <f t="shared" ref="Q26:V26" si="10">-IF(ISBLANK(T119),0,ROUND(MIN(Q$22*$H$10,Q$22-$B$7*$H$9),1))</f>
        <v>0</v>
      </c>
      <c r="R26" s="13">
        <f t="shared" si="10"/>
        <v>0</v>
      </c>
      <c r="S26" s="13">
        <f t="shared" si="10"/>
        <v>0</v>
      </c>
      <c r="T26" s="13">
        <f t="shared" si="10"/>
        <v>0</v>
      </c>
      <c r="U26" s="13">
        <f t="shared" si="10"/>
        <v>0</v>
      </c>
      <c r="V26" s="13">
        <f t="shared" si="10"/>
        <v>0</v>
      </c>
      <c r="W26" s="13">
        <f>-IF(ISBLANK(S119),0,ROUND(MIN(W$22*$H$10,W$22-$B$7*$H$9),1))</f>
        <v>0</v>
      </c>
      <c r="X26" s="13">
        <f>-IF(ISBLANK(Q119),0,ROUND(MIN(X$22*$H$10,X$22-$B$7*$H$9),1))</f>
        <v>-68</v>
      </c>
      <c r="Y26" s="81">
        <f>-IF(ISBLANK(R119),0,ROUND(MIN(Y$22*$H$10,Y$22-$B$7*$H$9),1))</f>
        <v>-68</v>
      </c>
      <c r="Z26" s="429">
        <f>-IF(ISBLANK(Z119),0,ROUND(MIN(Z$22*$H$10,Z$22-$B$7*$H$9),1))</f>
        <v>0</v>
      </c>
      <c r="AA26" s="90">
        <v>13</v>
      </c>
      <c r="AF26" s="93"/>
      <c r="AG26" s="87" t="s">
        <v>142</v>
      </c>
      <c r="AH26" s="106"/>
      <c r="AI26" s="34"/>
      <c r="AJ26" s="87"/>
    </row>
    <row r="27" spans="1:37" s="11" customFormat="1" ht="12" x14ac:dyDescent="0.2">
      <c r="A27" s="427" t="s">
        <v>143</v>
      </c>
      <c r="B27" s="13">
        <f t="shared" ref="B27:V27" si="11">SUM(B25:B26)</f>
        <v>143</v>
      </c>
      <c r="C27" s="13">
        <f t="shared" si="11"/>
        <v>143</v>
      </c>
      <c r="D27" s="13">
        <f t="shared" si="11"/>
        <v>143</v>
      </c>
      <c r="E27" s="13">
        <f t="shared" si="11"/>
        <v>143</v>
      </c>
      <c r="F27" s="13">
        <f t="shared" si="11"/>
        <v>142.94999999999999</v>
      </c>
      <c r="G27" s="13">
        <f t="shared" si="11"/>
        <v>142.94999999999999</v>
      </c>
      <c r="H27" s="13">
        <f t="shared" si="11"/>
        <v>149.69999999999999</v>
      </c>
      <c r="I27" s="13">
        <f t="shared" si="11"/>
        <v>161.05000000000001</v>
      </c>
      <c r="J27" s="13">
        <f t="shared" si="11"/>
        <v>161.05000000000001</v>
      </c>
      <c r="K27" s="13">
        <f t="shared" si="11"/>
        <v>172.49999999999997</v>
      </c>
      <c r="L27" s="13">
        <f t="shared" si="11"/>
        <v>172.49999999999997</v>
      </c>
      <c r="M27" s="13">
        <f t="shared" si="11"/>
        <v>172.49999999999997</v>
      </c>
      <c r="N27" s="13">
        <f t="shared" si="11"/>
        <v>172.49999999999997</v>
      </c>
      <c r="O27" s="13">
        <f t="shared" si="11"/>
        <v>172.49999999999997</v>
      </c>
      <c r="P27" s="13">
        <f t="shared" si="11"/>
        <v>172.49999999999997</v>
      </c>
      <c r="Q27" s="13">
        <f t="shared" si="11"/>
        <v>308.10000000000002</v>
      </c>
      <c r="R27" s="13">
        <f t="shared" si="11"/>
        <v>308.10000000000002</v>
      </c>
      <c r="S27" s="13">
        <f t="shared" si="11"/>
        <v>308.10000000000002</v>
      </c>
      <c r="T27" s="13">
        <f t="shared" si="11"/>
        <v>308.10000000000002</v>
      </c>
      <c r="U27" s="13">
        <f t="shared" si="11"/>
        <v>308.10000000000002</v>
      </c>
      <c r="V27" s="13">
        <f t="shared" si="11"/>
        <v>275.59999999999997</v>
      </c>
      <c r="W27" s="13">
        <f>SUM(W25:W26)</f>
        <v>143</v>
      </c>
      <c r="X27" s="13">
        <f>SUM(X25:X26)</f>
        <v>172.49999999999997</v>
      </c>
      <c r="Y27" s="81">
        <f>SUM(Y25:Y26)</f>
        <v>172.49999999999997</v>
      </c>
      <c r="Z27" s="429">
        <f t="shared" ref="Z27" si="12">SUM(Z25:Z26)</f>
        <v>143</v>
      </c>
      <c r="AA27" s="92">
        <v>14</v>
      </c>
      <c r="AF27" s="93"/>
      <c r="AG27" s="100"/>
      <c r="AH27" s="34"/>
      <c r="AI27" s="34"/>
      <c r="AJ27" s="87"/>
    </row>
    <row r="28" spans="1:37" s="11" customFormat="1" ht="12" x14ac:dyDescent="0.2">
      <c r="A28" s="12" t="s">
        <v>144</v>
      </c>
      <c r="B28" s="51">
        <f>AVERAGE(U22:V22,B22)</f>
        <v>216.66666666666666</v>
      </c>
      <c r="C28" s="51">
        <f>AVERAGE(V22,B22:C22)</f>
        <v>184.16666666666666</v>
      </c>
      <c r="D28" s="51">
        <f t="shared" ref="D28:S28" si="13">AVERAGE(B22:D22)</f>
        <v>162.5</v>
      </c>
      <c r="E28" s="51">
        <f t="shared" si="13"/>
        <v>162.5</v>
      </c>
      <c r="F28" s="51">
        <f t="shared" si="13"/>
        <v>167.91666666666666</v>
      </c>
      <c r="G28" s="51">
        <f t="shared" si="13"/>
        <v>173.33333333333334</v>
      </c>
      <c r="H28" s="51">
        <f t="shared" si="13"/>
        <v>184.16666666666666</v>
      </c>
      <c r="I28" s="51">
        <f t="shared" si="13"/>
        <v>195</v>
      </c>
      <c r="J28" s="51">
        <f t="shared" si="13"/>
        <v>205.83333333333334</v>
      </c>
      <c r="K28" s="51">
        <f t="shared" si="13"/>
        <v>216.66666666666666</v>
      </c>
      <c r="L28" s="51">
        <f t="shared" si="13"/>
        <v>222.08333333333334</v>
      </c>
      <c r="M28" s="51">
        <f t="shared" si="13"/>
        <v>227.49999999999997</v>
      </c>
      <c r="N28" s="51">
        <f t="shared" si="13"/>
        <v>227.49999999999997</v>
      </c>
      <c r="O28" s="51">
        <f t="shared" si="13"/>
        <v>227.49999999999997</v>
      </c>
      <c r="P28" s="51">
        <f t="shared" si="13"/>
        <v>227.49999999999997</v>
      </c>
      <c r="Q28" s="51">
        <f>AVERAGE(Q22:Q22)</f>
        <v>260</v>
      </c>
      <c r="R28" s="51">
        <f>AVERAGE(Q22:R22)</f>
        <v>260</v>
      </c>
      <c r="S28" s="51">
        <f t="shared" si="13"/>
        <v>260</v>
      </c>
      <c r="T28" s="51">
        <f>AVERAGE(R22:T22)</f>
        <v>260</v>
      </c>
      <c r="U28" s="51">
        <f>AVERAGE(S22:U22)</f>
        <v>260</v>
      </c>
      <c r="V28" s="51">
        <f>AVERAGE(T22:V22)</f>
        <v>249.16666666666666</v>
      </c>
      <c r="W28" s="51">
        <f>AVERAGE(W22:W22)</f>
        <v>130</v>
      </c>
      <c r="X28" s="51">
        <f>AVERAGE(O22:X22)</f>
        <v>234</v>
      </c>
      <c r="Y28" s="324">
        <f>AVERAGE(P22:Y22)</f>
        <v>234</v>
      </c>
      <c r="Z28" s="429" t="s">
        <v>200</v>
      </c>
      <c r="AA28" s="90">
        <v>15</v>
      </c>
      <c r="AF28" s="93"/>
      <c r="AG28" s="630" t="s">
        <v>145</v>
      </c>
      <c r="AH28" s="631"/>
      <c r="AI28" s="435" t="s">
        <v>146</v>
      </c>
      <c r="AJ28" s="87"/>
    </row>
    <row r="29" spans="1:37" s="11" customFormat="1" ht="12" x14ac:dyDescent="0.2">
      <c r="A29" s="151" t="s">
        <v>147</v>
      </c>
      <c r="B29" s="430"/>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429"/>
      <c r="AA29" s="92">
        <v>16</v>
      </c>
      <c r="AF29" s="107" t="s">
        <v>148</v>
      </c>
      <c r="AG29" s="436" t="s">
        <v>149</v>
      </c>
      <c r="AH29" s="437">
        <f>HLOOKUP($AH$20,$B$14:$AA$67,AA50,FALSE)</f>
        <v>0</v>
      </c>
      <c r="AI29" s="437"/>
      <c r="AJ29" s="87"/>
    </row>
    <row r="30" spans="1:37" s="11" customFormat="1" ht="12" x14ac:dyDescent="0.2">
      <c r="A30" s="12" t="s">
        <v>150</v>
      </c>
      <c r="B30" s="13">
        <f t="shared" ref="B30:P30" si="14">IF(ISBLANK(B119),0,$B$11)</f>
        <v>2.6</v>
      </c>
      <c r="C30" s="13">
        <f t="shared" si="14"/>
        <v>2.6</v>
      </c>
      <c r="D30" s="13">
        <f t="shared" si="14"/>
        <v>2.6</v>
      </c>
      <c r="E30" s="13">
        <f t="shared" si="14"/>
        <v>2.6</v>
      </c>
      <c r="F30" s="13">
        <f t="shared" si="14"/>
        <v>2.6</v>
      </c>
      <c r="G30" s="13">
        <f t="shared" si="14"/>
        <v>2.6</v>
      </c>
      <c r="H30" s="13">
        <f t="shared" si="14"/>
        <v>2.6</v>
      </c>
      <c r="I30" s="13">
        <f t="shared" si="14"/>
        <v>2.6</v>
      </c>
      <c r="J30" s="13">
        <f t="shared" si="14"/>
        <v>2.6</v>
      </c>
      <c r="K30" s="13">
        <f t="shared" si="14"/>
        <v>2.6</v>
      </c>
      <c r="L30" s="13">
        <f t="shared" si="14"/>
        <v>2.6</v>
      </c>
      <c r="M30" s="13">
        <f t="shared" si="14"/>
        <v>2.6</v>
      </c>
      <c r="N30" s="13">
        <f t="shared" si="14"/>
        <v>2.6</v>
      </c>
      <c r="O30" s="13">
        <f t="shared" si="14"/>
        <v>2.6</v>
      </c>
      <c r="P30" s="13">
        <f t="shared" si="14"/>
        <v>2.6</v>
      </c>
      <c r="Q30" s="13">
        <f t="shared" ref="Q30:V30" si="15">IF(ISBLANK(T119),0,$B$11)</f>
        <v>0</v>
      </c>
      <c r="R30" s="13">
        <f t="shared" si="15"/>
        <v>0</v>
      </c>
      <c r="S30" s="13">
        <f t="shared" si="15"/>
        <v>0</v>
      </c>
      <c r="T30" s="13">
        <f t="shared" si="15"/>
        <v>0</v>
      </c>
      <c r="U30" s="13">
        <f t="shared" si="15"/>
        <v>0</v>
      </c>
      <c r="V30" s="81">
        <f t="shared" si="15"/>
        <v>0</v>
      </c>
      <c r="W30" s="13">
        <f>IF(ISBLANK(S119),0,$B$11)</f>
        <v>0</v>
      </c>
      <c r="X30" s="13">
        <f>IF(ISBLANK(Q119),0,$B$11)</f>
        <v>2.6</v>
      </c>
      <c r="Y30" s="81">
        <f>IF(ISBLANK(R119),0,$B$11)</f>
        <v>2.6</v>
      </c>
      <c r="Z30" s="429">
        <f>IF(ISBLANK(Z119),0,$B$11)</f>
        <v>2.6</v>
      </c>
      <c r="AA30" s="90">
        <v>17</v>
      </c>
      <c r="AF30" s="43"/>
      <c r="AG30" s="438">
        <v>15</v>
      </c>
      <c r="AH30" s="432">
        <f>IF(AH29-$AG30&lt;0,0,AH29-$AG30)</f>
        <v>0</v>
      </c>
      <c r="AI30" s="432">
        <f>IF(ISERROR(MAX(0,AH22-$AG30/AH23)),0,MAX(0,AH22-$AG30/AH23))</f>
        <v>0</v>
      </c>
      <c r="AJ30" s="87"/>
    </row>
    <row r="31" spans="1:37"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14"/>
      <c r="Z31" s="555"/>
      <c r="AA31" s="92">
        <v>18</v>
      </c>
      <c r="AF31" s="107" t="s">
        <v>152</v>
      </c>
      <c r="AG31" s="436" t="s">
        <v>149</v>
      </c>
      <c r="AH31" s="437">
        <f>HLOOKUP($AH$20,$B$14:$AA$67,AA52,FALSE)</f>
        <v>20</v>
      </c>
      <c r="AI31" s="437"/>
      <c r="AJ31" s="87"/>
      <c r="AK31" s="7"/>
    </row>
    <row r="32" spans="1:37" thickBot="1" x14ac:dyDescent="0.25">
      <c r="A32" s="412" t="s">
        <v>153</v>
      </c>
      <c r="B32" s="425">
        <v>0.7</v>
      </c>
      <c r="C32" s="425">
        <v>0.7</v>
      </c>
      <c r="D32" s="425">
        <v>0.7</v>
      </c>
      <c r="E32" s="425">
        <v>0.7</v>
      </c>
      <c r="F32" s="425">
        <v>0.8</v>
      </c>
      <c r="G32" s="425">
        <v>0.8</v>
      </c>
      <c r="H32" s="425">
        <v>0.8</v>
      </c>
      <c r="I32" s="425">
        <v>0.8</v>
      </c>
      <c r="J32" s="425">
        <v>0.8</v>
      </c>
      <c r="K32" s="425">
        <v>0.9</v>
      </c>
      <c r="L32" s="425">
        <v>0.9</v>
      </c>
      <c r="M32" s="425">
        <v>0.9</v>
      </c>
      <c r="N32" s="425">
        <v>1</v>
      </c>
      <c r="O32" s="425">
        <v>1</v>
      </c>
      <c r="P32" s="425">
        <v>1</v>
      </c>
      <c r="Q32" s="425">
        <v>1</v>
      </c>
      <c r="R32" s="425">
        <v>1</v>
      </c>
      <c r="S32" s="425">
        <v>1</v>
      </c>
      <c r="T32" s="425">
        <v>1</v>
      </c>
      <c r="U32" s="425">
        <v>1</v>
      </c>
      <c r="V32" s="425">
        <v>1</v>
      </c>
      <c r="W32" s="425">
        <v>1</v>
      </c>
      <c r="X32" s="425">
        <v>1</v>
      </c>
      <c r="Y32" s="424">
        <v>1</v>
      </c>
      <c r="Z32" s="425">
        <v>0.7</v>
      </c>
      <c r="AA32" s="90">
        <v>19</v>
      </c>
      <c r="AF32" s="34"/>
      <c r="AG32" s="441">
        <v>10</v>
      </c>
      <c r="AH32" s="442">
        <f>IF(AH31-$AG32&lt;0,0,AH31-$AG32)</f>
        <v>10</v>
      </c>
      <c r="AI32" s="442">
        <f>IF(ISERROR(MAX(0,AH22-$AG32/AH23)),0,MAX(0,AH22-$AG32/AH23))</f>
        <v>0</v>
      </c>
      <c r="AJ32" s="87"/>
      <c r="AK32" s="11"/>
    </row>
    <row r="33" spans="1:37" s="11" customFormat="1" ht="12" x14ac:dyDescent="0.2">
      <c r="A33" s="412" t="s">
        <v>154</v>
      </c>
      <c r="B33" s="446">
        <f>0.8*B32</f>
        <v>0.55999999999999994</v>
      </c>
      <c r="C33" s="446">
        <f t="shared" ref="C33:Z33" si="16">0.8*C32</f>
        <v>0.55999999999999994</v>
      </c>
      <c r="D33" s="446">
        <f t="shared" si="16"/>
        <v>0.55999999999999994</v>
      </c>
      <c r="E33" s="446">
        <f t="shared" si="16"/>
        <v>0.55999999999999994</v>
      </c>
      <c r="F33" s="446">
        <f t="shared" si="16"/>
        <v>0.64000000000000012</v>
      </c>
      <c r="G33" s="446">
        <f t="shared" si="16"/>
        <v>0.64000000000000012</v>
      </c>
      <c r="H33" s="446">
        <f t="shared" si="16"/>
        <v>0.64000000000000012</v>
      </c>
      <c r="I33" s="446">
        <f t="shared" si="16"/>
        <v>0.64000000000000012</v>
      </c>
      <c r="J33" s="446">
        <f t="shared" si="16"/>
        <v>0.64000000000000012</v>
      </c>
      <c r="K33" s="446">
        <f t="shared" si="16"/>
        <v>0.72000000000000008</v>
      </c>
      <c r="L33" s="446">
        <f t="shared" si="16"/>
        <v>0.72000000000000008</v>
      </c>
      <c r="M33" s="446">
        <f t="shared" si="16"/>
        <v>0.72000000000000008</v>
      </c>
      <c r="N33" s="446">
        <f t="shared" si="16"/>
        <v>0.8</v>
      </c>
      <c r="O33" s="446">
        <f t="shared" si="16"/>
        <v>0.8</v>
      </c>
      <c r="P33" s="446">
        <f t="shared" si="16"/>
        <v>0.8</v>
      </c>
      <c r="Q33" s="446">
        <f t="shared" si="16"/>
        <v>0.8</v>
      </c>
      <c r="R33" s="446">
        <f t="shared" si="16"/>
        <v>0.8</v>
      </c>
      <c r="S33" s="446">
        <f t="shared" si="16"/>
        <v>0.8</v>
      </c>
      <c r="T33" s="446">
        <f t="shared" si="16"/>
        <v>0.8</v>
      </c>
      <c r="U33" s="446">
        <f t="shared" si="16"/>
        <v>0.8</v>
      </c>
      <c r="V33" s="446">
        <f t="shared" si="16"/>
        <v>0.8</v>
      </c>
      <c r="W33" s="446">
        <f t="shared" si="16"/>
        <v>0.8</v>
      </c>
      <c r="X33" s="446">
        <f t="shared" si="16"/>
        <v>0.8</v>
      </c>
      <c r="Y33" s="556">
        <f t="shared" si="16"/>
        <v>0.8</v>
      </c>
      <c r="Z33" s="446">
        <f t="shared" si="16"/>
        <v>0.55999999999999994</v>
      </c>
      <c r="AA33" s="92">
        <v>20</v>
      </c>
      <c r="AF33" s="34"/>
      <c r="AG33" s="108" t="s">
        <v>155</v>
      </c>
      <c r="AH33" s="108" t="s">
        <v>156</v>
      </c>
      <c r="AI33" s="108" t="s">
        <v>157</v>
      </c>
      <c r="AJ33" s="87"/>
    </row>
    <row r="34" spans="1:37" s="11" customFormat="1" ht="12" x14ac:dyDescent="0.2">
      <c r="A34" s="445" t="s">
        <v>158</v>
      </c>
      <c r="B34" s="446">
        <f>((B36*$B$171)/$B$2)</f>
        <v>0.50135321109236985</v>
      </c>
      <c r="C34" s="446">
        <f t="shared" ref="C34:Z34" si="17">((C36*$B$171)/$B$2)</f>
        <v>0.50135321109236985</v>
      </c>
      <c r="D34" s="446">
        <f t="shared" si="17"/>
        <v>0.50135321109236985</v>
      </c>
      <c r="E34" s="446">
        <f t="shared" si="17"/>
        <v>0.50135321109236985</v>
      </c>
      <c r="F34" s="446">
        <f t="shared" si="17"/>
        <v>0.57297509839127991</v>
      </c>
      <c r="G34" s="446">
        <f t="shared" si="17"/>
        <v>0.57297509839127991</v>
      </c>
      <c r="H34" s="446">
        <f t="shared" si="17"/>
        <v>0.57297509839127991</v>
      </c>
      <c r="I34" s="446">
        <f t="shared" si="17"/>
        <v>0.57297509839127991</v>
      </c>
      <c r="J34" s="446">
        <f t="shared" si="17"/>
        <v>0.57297509839127991</v>
      </c>
      <c r="K34" s="446">
        <f t="shared" si="17"/>
        <v>0.64459698569018997</v>
      </c>
      <c r="L34" s="446">
        <f t="shared" si="17"/>
        <v>0.64459698569018997</v>
      </c>
      <c r="M34" s="446">
        <f t="shared" si="17"/>
        <v>0.64459698569018997</v>
      </c>
      <c r="N34" s="446">
        <f t="shared" si="17"/>
        <v>0.71621887298909981</v>
      </c>
      <c r="O34" s="446">
        <f t="shared" si="17"/>
        <v>0.71621887298909981</v>
      </c>
      <c r="P34" s="446">
        <f t="shared" si="17"/>
        <v>0.71621887298909981</v>
      </c>
      <c r="Q34" s="446">
        <f t="shared" si="17"/>
        <v>0.71621887298909981</v>
      </c>
      <c r="R34" s="446">
        <f t="shared" si="17"/>
        <v>0.71621887298909981</v>
      </c>
      <c r="S34" s="446">
        <f t="shared" si="17"/>
        <v>0.71621887298909981</v>
      </c>
      <c r="T34" s="446">
        <f t="shared" si="17"/>
        <v>0.71621887298909981</v>
      </c>
      <c r="U34" s="446">
        <f t="shared" si="17"/>
        <v>0.71621887298909981</v>
      </c>
      <c r="V34" s="446">
        <f t="shared" si="17"/>
        <v>0.71621887298909981</v>
      </c>
      <c r="W34" s="446">
        <f t="shared" si="17"/>
        <v>0.71621887298909981</v>
      </c>
      <c r="X34" s="446">
        <f t="shared" si="17"/>
        <v>0.71621887298909981</v>
      </c>
      <c r="Y34" s="446">
        <f t="shared" si="17"/>
        <v>0.71621887298909981</v>
      </c>
      <c r="Z34" s="446">
        <f t="shared" si="17"/>
        <v>0.50135321109236985</v>
      </c>
      <c r="AA34" s="92"/>
      <c r="AF34" s="43" t="s">
        <v>159</v>
      </c>
      <c r="AG34" s="447">
        <f>SUM(AG30,AG32)</f>
        <v>25</v>
      </c>
      <c r="AH34" s="447">
        <f>SUM(AH29,AH31)</f>
        <v>20</v>
      </c>
      <c r="AI34" s="447">
        <f>MAX(AI29:AI32)</f>
        <v>0</v>
      </c>
      <c r="AJ34" s="87"/>
    </row>
    <row r="35" spans="1:37" s="11" customFormat="1" ht="12" x14ac:dyDescent="0.2">
      <c r="A35" s="465" t="s">
        <v>160</v>
      </c>
      <c r="B35" s="461">
        <f t="shared" ref="B35:Z35" si="18">ROUND($B$2*B$32,2)</f>
        <v>4.2</v>
      </c>
      <c r="C35" s="461">
        <f t="shared" si="18"/>
        <v>4.2</v>
      </c>
      <c r="D35" s="461">
        <f t="shared" si="18"/>
        <v>4.2</v>
      </c>
      <c r="E35" s="461">
        <f t="shared" si="18"/>
        <v>4.2</v>
      </c>
      <c r="F35" s="461">
        <f t="shared" si="18"/>
        <v>4.8</v>
      </c>
      <c r="G35" s="461">
        <f t="shared" si="18"/>
        <v>4.8</v>
      </c>
      <c r="H35" s="461">
        <f t="shared" si="18"/>
        <v>4.8</v>
      </c>
      <c r="I35" s="461">
        <f t="shared" si="18"/>
        <v>4.8</v>
      </c>
      <c r="J35" s="461">
        <f t="shared" si="18"/>
        <v>4.8</v>
      </c>
      <c r="K35" s="461">
        <f t="shared" si="18"/>
        <v>5.4</v>
      </c>
      <c r="L35" s="461">
        <f t="shared" si="18"/>
        <v>5.4</v>
      </c>
      <c r="M35" s="461">
        <f t="shared" si="18"/>
        <v>5.4</v>
      </c>
      <c r="N35" s="461">
        <f t="shared" si="18"/>
        <v>6</v>
      </c>
      <c r="O35" s="461">
        <f t="shared" si="18"/>
        <v>6</v>
      </c>
      <c r="P35" s="461">
        <f t="shared" si="18"/>
        <v>6</v>
      </c>
      <c r="Q35" s="461">
        <f t="shared" si="18"/>
        <v>6</v>
      </c>
      <c r="R35" s="461">
        <f t="shared" si="18"/>
        <v>6</v>
      </c>
      <c r="S35" s="461">
        <f t="shared" si="18"/>
        <v>6</v>
      </c>
      <c r="T35" s="461">
        <f t="shared" si="18"/>
        <v>6</v>
      </c>
      <c r="U35" s="461">
        <f t="shared" si="18"/>
        <v>6</v>
      </c>
      <c r="V35" s="461">
        <f t="shared" si="18"/>
        <v>6</v>
      </c>
      <c r="W35" s="461">
        <f t="shared" si="18"/>
        <v>6</v>
      </c>
      <c r="X35" s="461">
        <f t="shared" si="18"/>
        <v>6</v>
      </c>
      <c r="Y35" s="460">
        <f t="shared" si="18"/>
        <v>6</v>
      </c>
      <c r="Z35" s="461">
        <f t="shared" si="18"/>
        <v>4.2</v>
      </c>
      <c r="AA35" s="90">
        <v>21</v>
      </c>
      <c r="AF35" s="43"/>
      <c r="AG35" s="34"/>
      <c r="AH35" s="34"/>
      <c r="AI35" s="34"/>
    </row>
    <row r="36" spans="1:37" s="11" customFormat="1" ht="12" x14ac:dyDescent="0.2">
      <c r="A36" s="465" t="s">
        <v>134</v>
      </c>
      <c r="B36" s="540">
        <f t="shared" ref="B36:Z36" si="19">ROUND($B$2*B$33,2)</f>
        <v>3.36</v>
      </c>
      <c r="C36" s="540">
        <f t="shared" si="19"/>
        <v>3.36</v>
      </c>
      <c r="D36" s="540">
        <f t="shared" si="19"/>
        <v>3.36</v>
      </c>
      <c r="E36" s="540">
        <f t="shared" si="19"/>
        <v>3.36</v>
      </c>
      <c r="F36" s="540">
        <f t="shared" si="19"/>
        <v>3.84</v>
      </c>
      <c r="G36" s="540">
        <f t="shared" si="19"/>
        <v>3.84</v>
      </c>
      <c r="H36" s="540">
        <f t="shared" si="19"/>
        <v>3.84</v>
      </c>
      <c r="I36" s="540">
        <f t="shared" si="19"/>
        <v>3.84</v>
      </c>
      <c r="J36" s="540">
        <f t="shared" si="19"/>
        <v>3.84</v>
      </c>
      <c r="K36" s="540">
        <f t="shared" si="19"/>
        <v>4.32</v>
      </c>
      <c r="L36" s="540">
        <f t="shared" si="19"/>
        <v>4.32</v>
      </c>
      <c r="M36" s="540">
        <f t="shared" si="19"/>
        <v>4.32</v>
      </c>
      <c r="N36" s="540">
        <f t="shared" si="19"/>
        <v>4.8</v>
      </c>
      <c r="O36" s="540">
        <f t="shared" si="19"/>
        <v>4.8</v>
      </c>
      <c r="P36" s="540">
        <f t="shared" si="19"/>
        <v>4.8</v>
      </c>
      <c r="Q36" s="540">
        <f t="shared" si="19"/>
        <v>4.8</v>
      </c>
      <c r="R36" s="540">
        <f t="shared" si="19"/>
        <v>4.8</v>
      </c>
      <c r="S36" s="540">
        <f t="shared" si="19"/>
        <v>4.8</v>
      </c>
      <c r="T36" s="540">
        <f t="shared" si="19"/>
        <v>4.8</v>
      </c>
      <c r="U36" s="540">
        <f t="shared" si="19"/>
        <v>4.8</v>
      </c>
      <c r="V36" s="540">
        <f t="shared" si="19"/>
        <v>4.8</v>
      </c>
      <c r="W36" s="540">
        <f t="shared" si="19"/>
        <v>4.8</v>
      </c>
      <c r="X36" s="540">
        <f t="shared" si="19"/>
        <v>4.8</v>
      </c>
      <c r="Y36" s="345">
        <f t="shared" si="19"/>
        <v>4.8</v>
      </c>
      <c r="Z36" s="461">
        <f t="shared" si="19"/>
        <v>3.36</v>
      </c>
      <c r="AA36" s="92">
        <v>22</v>
      </c>
      <c r="AG36" s="106" t="s">
        <v>270</v>
      </c>
      <c r="AH36" s="34"/>
      <c r="AI36" s="34"/>
    </row>
    <row r="37" spans="1:37" s="11" customFormat="1" ht="12" x14ac:dyDescent="0.2">
      <c r="A37" s="529" t="s">
        <v>162</v>
      </c>
      <c r="B37" s="451">
        <f>B34*$B$2</f>
        <v>3.0081192665542194</v>
      </c>
      <c r="C37" s="451">
        <f t="shared" ref="C37:Z37" si="20">C34*$B$2</f>
        <v>3.0081192665542194</v>
      </c>
      <c r="D37" s="451">
        <f t="shared" si="20"/>
        <v>3.0081192665542194</v>
      </c>
      <c r="E37" s="451">
        <f t="shared" si="20"/>
        <v>3.0081192665542194</v>
      </c>
      <c r="F37" s="451">
        <f t="shared" si="20"/>
        <v>3.4378505903476793</v>
      </c>
      <c r="G37" s="451">
        <f t="shared" si="20"/>
        <v>3.4378505903476793</v>
      </c>
      <c r="H37" s="451">
        <f t="shared" si="20"/>
        <v>3.4378505903476793</v>
      </c>
      <c r="I37" s="451">
        <f t="shared" si="20"/>
        <v>3.4378505903476793</v>
      </c>
      <c r="J37" s="451">
        <f t="shared" si="20"/>
        <v>3.4378505903476793</v>
      </c>
      <c r="K37" s="451">
        <f t="shared" si="20"/>
        <v>3.8675819141411401</v>
      </c>
      <c r="L37" s="451">
        <f t="shared" si="20"/>
        <v>3.8675819141411401</v>
      </c>
      <c r="M37" s="451">
        <f t="shared" si="20"/>
        <v>3.8675819141411401</v>
      </c>
      <c r="N37" s="451">
        <f t="shared" si="20"/>
        <v>4.2973132379345991</v>
      </c>
      <c r="O37" s="451">
        <f t="shared" si="20"/>
        <v>4.2973132379345991</v>
      </c>
      <c r="P37" s="451">
        <f t="shared" si="20"/>
        <v>4.2973132379345991</v>
      </c>
      <c r="Q37" s="451">
        <f t="shared" si="20"/>
        <v>4.2973132379345991</v>
      </c>
      <c r="R37" s="451">
        <f t="shared" si="20"/>
        <v>4.2973132379345991</v>
      </c>
      <c r="S37" s="451">
        <f t="shared" si="20"/>
        <v>4.2973132379345991</v>
      </c>
      <c r="T37" s="451">
        <f t="shared" si="20"/>
        <v>4.2973132379345991</v>
      </c>
      <c r="U37" s="451">
        <f t="shared" si="20"/>
        <v>4.2973132379345991</v>
      </c>
      <c r="V37" s="451">
        <f t="shared" si="20"/>
        <v>4.2973132379345991</v>
      </c>
      <c r="W37" s="451">
        <f t="shared" si="20"/>
        <v>4.2973132379345991</v>
      </c>
      <c r="X37" s="451">
        <f t="shared" si="20"/>
        <v>4.2973132379345991</v>
      </c>
      <c r="Y37" s="451">
        <f t="shared" si="20"/>
        <v>4.2973132379345991</v>
      </c>
      <c r="Z37" s="451">
        <f t="shared" si="20"/>
        <v>3.0081192665542194</v>
      </c>
      <c r="AA37" s="92"/>
      <c r="AG37" s="34"/>
      <c r="AH37" s="34"/>
      <c r="AI37" s="34"/>
      <c r="AJ37" s="87"/>
    </row>
    <row r="38" spans="1:37" s="11" customFormat="1" ht="12" x14ac:dyDescent="0.2">
      <c r="A38" s="452"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456"/>
      <c r="AA38" s="90">
        <v>23</v>
      </c>
      <c r="AF38" s="34"/>
      <c r="AG38" s="630" t="s">
        <v>164</v>
      </c>
      <c r="AH38" s="631"/>
      <c r="AI38" s="435" t="s">
        <v>146</v>
      </c>
      <c r="AJ38" s="87"/>
      <c r="AK38" s="7"/>
    </row>
    <row r="39" spans="1:37" ht="12" x14ac:dyDescent="0.2">
      <c r="A39" s="455" t="s">
        <v>165</v>
      </c>
      <c r="B39" s="456">
        <f t="shared" ref="B39:Z39" si="21">IF($B172&gt;=0.9, B$36,B$36*$B172)</f>
        <v>0.50580075085695619</v>
      </c>
      <c r="C39" s="456">
        <f t="shared" si="21"/>
        <v>0.50580075085695619</v>
      </c>
      <c r="D39" s="456">
        <f t="shared" si="21"/>
        <v>0.50580075085695619</v>
      </c>
      <c r="E39" s="456">
        <f t="shared" si="21"/>
        <v>0.50580075085695619</v>
      </c>
      <c r="F39" s="456">
        <f t="shared" si="21"/>
        <v>0.57805800097937854</v>
      </c>
      <c r="G39" s="456">
        <f t="shared" si="21"/>
        <v>0.57805800097937854</v>
      </c>
      <c r="H39" s="456">
        <f t="shared" si="21"/>
        <v>0.57805800097937854</v>
      </c>
      <c r="I39" s="456">
        <f t="shared" si="21"/>
        <v>0.57805800097937854</v>
      </c>
      <c r="J39" s="456">
        <f t="shared" si="21"/>
        <v>0.57805800097937854</v>
      </c>
      <c r="K39" s="456">
        <f t="shared" si="21"/>
        <v>0.650315251101801</v>
      </c>
      <c r="L39" s="456">
        <f t="shared" si="21"/>
        <v>0.650315251101801</v>
      </c>
      <c r="M39" s="456">
        <f t="shared" si="21"/>
        <v>0.650315251101801</v>
      </c>
      <c r="N39" s="456">
        <f t="shared" si="21"/>
        <v>0.72257250122422323</v>
      </c>
      <c r="O39" s="456">
        <f t="shared" si="21"/>
        <v>0.72257250122422323</v>
      </c>
      <c r="P39" s="456">
        <f t="shared" si="21"/>
        <v>0.72257250122422323</v>
      </c>
      <c r="Q39" s="456">
        <f t="shared" si="21"/>
        <v>0.72257250122422323</v>
      </c>
      <c r="R39" s="456">
        <f t="shared" si="21"/>
        <v>0.72257250122422323</v>
      </c>
      <c r="S39" s="456">
        <f t="shared" si="21"/>
        <v>0.72257250122422323</v>
      </c>
      <c r="T39" s="456">
        <f t="shared" si="21"/>
        <v>0.72257250122422323</v>
      </c>
      <c r="U39" s="456">
        <f t="shared" si="21"/>
        <v>0.72257250122422323</v>
      </c>
      <c r="V39" s="456">
        <f t="shared" si="21"/>
        <v>0.72257250122422323</v>
      </c>
      <c r="W39" s="456">
        <f t="shared" si="21"/>
        <v>0.72257250122422323</v>
      </c>
      <c r="X39" s="456">
        <f t="shared" si="21"/>
        <v>0.72257250122422323</v>
      </c>
      <c r="Y39" s="453">
        <f t="shared" si="21"/>
        <v>0.72257250122422323</v>
      </c>
      <c r="Z39" s="456">
        <f t="shared" si="21"/>
        <v>0.50580075085695619</v>
      </c>
      <c r="AA39" s="92">
        <v>24</v>
      </c>
      <c r="AB39" s="11"/>
      <c r="AC39" s="11"/>
      <c r="AD39" s="11"/>
      <c r="AE39" s="11"/>
      <c r="AF39" s="34"/>
      <c r="AG39" s="436" t="s">
        <v>166</v>
      </c>
      <c r="AH39" s="437">
        <f>HLOOKUP($AH$20,$B$14:$AA$67,AA55,FALSE)</f>
        <v>0</v>
      </c>
      <c r="AI39" s="437"/>
      <c r="AJ39" s="87"/>
    </row>
    <row r="40" spans="1:37" ht="12" x14ac:dyDescent="0.2">
      <c r="A40" s="455" t="s">
        <v>167</v>
      </c>
      <c r="B40" s="456">
        <f t="shared" ref="B40:Z40" si="22">IF($B173&gt;=0.9, B$36,B$36*$B173)</f>
        <v>2.8101585505196143</v>
      </c>
      <c r="C40" s="456">
        <f t="shared" si="22"/>
        <v>2.8101585505196143</v>
      </c>
      <c r="D40" s="456">
        <f t="shared" si="22"/>
        <v>2.8101585505196143</v>
      </c>
      <c r="E40" s="456">
        <f t="shared" si="22"/>
        <v>2.8101585505196143</v>
      </c>
      <c r="F40" s="456">
        <f t="shared" si="22"/>
        <v>3.2116097720224164</v>
      </c>
      <c r="G40" s="456">
        <f t="shared" si="22"/>
        <v>3.2116097720224164</v>
      </c>
      <c r="H40" s="456">
        <f t="shared" si="22"/>
        <v>3.2116097720224164</v>
      </c>
      <c r="I40" s="456">
        <f t="shared" si="22"/>
        <v>3.2116097720224164</v>
      </c>
      <c r="J40" s="456">
        <f t="shared" si="22"/>
        <v>3.2116097720224164</v>
      </c>
      <c r="K40" s="456">
        <f t="shared" si="22"/>
        <v>3.6130609935252189</v>
      </c>
      <c r="L40" s="456">
        <f t="shared" si="22"/>
        <v>3.6130609935252189</v>
      </c>
      <c r="M40" s="456">
        <f t="shared" si="22"/>
        <v>3.6130609935252189</v>
      </c>
      <c r="N40" s="456">
        <f t="shared" si="22"/>
        <v>4.014512215028021</v>
      </c>
      <c r="O40" s="456">
        <f t="shared" si="22"/>
        <v>4.014512215028021</v>
      </c>
      <c r="P40" s="456">
        <f t="shared" si="22"/>
        <v>4.014512215028021</v>
      </c>
      <c r="Q40" s="456">
        <f t="shared" si="22"/>
        <v>4.014512215028021</v>
      </c>
      <c r="R40" s="456">
        <f t="shared" si="22"/>
        <v>4.014512215028021</v>
      </c>
      <c r="S40" s="456">
        <f t="shared" si="22"/>
        <v>4.014512215028021</v>
      </c>
      <c r="T40" s="456">
        <f t="shared" si="22"/>
        <v>4.014512215028021</v>
      </c>
      <c r="U40" s="456">
        <f t="shared" si="22"/>
        <v>4.014512215028021</v>
      </c>
      <c r="V40" s="456">
        <f t="shared" si="22"/>
        <v>4.014512215028021</v>
      </c>
      <c r="W40" s="456">
        <f t="shared" si="22"/>
        <v>4.014512215028021</v>
      </c>
      <c r="X40" s="456">
        <f t="shared" si="22"/>
        <v>4.014512215028021</v>
      </c>
      <c r="Y40" s="453">
        <f t="shared" si="22"/>
        <v>4.014512215028021</v>
      </c>
      <c r="Z40" s="456">
        <f t="shared" si="22"/>
        <v>2.8101585505196143</v>
      </c>
      <c r="AA40" s="90">
        <v>25</v>
      </c>
      <c r="AB40" s="11"/>
      <c r="AC40" s="11"/>
      <c r="AD40" s="11"/>
      <c r="AF40" s="34"/>
      <c r="AG40" s="438">
        <v>8</v>
      </c>
      <c r="AH40" s="432">
        <f>IF(AH39-$AG40&lt;0,0,AH39-$AG40)</f>
        <v>0</v>
      </c>
      <c r="AI40" s="432">
        <f>IF(ISERROR((AH40/$AH$52)*$AH$22),0,(AH40/$AH$52)*$AH$22)</f>
        <v>0</v>
      </c>
      <c r="AJ40" s="87"/>
    </row>
    <row r="41" spans="1:37" ht="12" x14ac:dyDescent="0.2">
      <c r="A41" s="455" t="s">
        <v>168</v>
      </c>
      <c r="B41" s="456">
        <f t="shared" ref="B41:Z41" si="23">IF($B174&gt;=0.9, B$36,B$36*$B174)</f>
        <v>2.8541992491430435</v>
      </c>
      <c r="C41" s="456">
        <f t="shared" si="23"/>
        <v>2.8541992491430435</v>
      </c>
      <c r="D41" s="456">
        <f t="shared" si="23"/>
        <v>2.8541992491430435</v>
      </c>
      <c r="E41" s="456">
        <f t="shared" si="23"/>
        <v>2.8541992491430435</v>
      </c>
      <c r="F41" s="456">
        <f t="shared" si="23"/>
        <v>3.2619419990206211</v>
      </c>
      <c r="G41" s="456">
        <f t="shared" si="23"/>
        <v>3.2619419990206211</v>
      </c>
      <c r="H41" s="456">
        <f t="shared" si="23"/>
        <v>3.2619419990206211</v>
      </c>
      <c r="I41" s="456">
        <f t="shared" si="23"/>
        <v>3.2619419990206211</v>
      </c>
      <c r="J41" s="456">
        <f t="shared" si="23"/>
        <v>3.2619419990206211</v>
      </c>
      <c r="K41" s="456">
        <f t="shared" si="23"/>
        <v>3.6696847488981992</v>
      </c>
      <c r="L41" s="456">
        <f t="shared" si="23"/>
        <v>3.6696847488981992</v>
      </c>
      <c r="M41" s="456">
        <f t="shared" si="23"/>
        <v>3.6696847488981992</v>
      </c>
      <c r="N41" s="456">
        <f t="shared" si="23"/>
        <v>4.0774274987757764</v>
      </c>
      <c r="O41" s="456">
        <f t="shared" si="23"/>
        <v>4.0774274987757764</v>
      </c>
      <c r="P41" s="456">
        <f t="shared" si="23"/>
        <v>4.0774274987757764</v>
      </c>
      <c r="Q41" s="456">
        <f t="shared" si="23"/>
        <v>4.0774274987757764</v>
      </c>
      <c r="R41" s="456">
        <f t="shared" si="23"/>
        <v>4.0774274987757764</v>
      </c>
      <c r="S41" s="456">
        <f t="shared" si="23"/>
        <v>4.0774274987757764</v>
      </c>
      <c r="T41" s="456">
        <f t="shared" si="23"/>
        <v>4.0774274987757764</v>
      </c>
      <c r="U41" s="456">
        <f t="shared" si="23"/>
        <v>4.0774274987757764</v>
      </c>
      <c r="V41" s="456">
        <f t="shared" si="23"/>
        <v>4.0774274987757764</v>
      </c>
      <c r="W41" s="456">
        <f t="shared" si="23"/>
        <v>4.0774274987757764</v>
      </c>
      <c r="X41" s="456">
        <f t="shared" si="23"/>
        <v>4.0774274987757764</v>
      </c>
      <c r="Y41" s="453">
        <f t="shared" si="23"/>
        <v>4.0774274987757764</v>
      </c>
      <c r="Z41" s="456">
        <f t="shared" si="23"/>
        <v>2.8541992491430435</v>
      </c>
      <c r="AA41" s="92">
        <v>26</v>
      </c>
      <c r="AF41" s="34"/>
      <c r="AG41" s="436" t="s">
        <v>169</v>
      </c>
      <c r="AH41" s="437">
        <f>HLOOKUP($AH$20,$B$14:$AA$67,AA57,FALSE)</f>
        <v>10</v>
      </c>
      <c r="AI41" s="437"/>
      <c r="AJ41" s="87"/>
    </row>
    <row r="42" spans="1:37" ht="12" x14ac:dyDescent="0.2">
      <c r="A42" s="421" t="s">
        <v>170</v>
      </c>
      <c r="B42" s="456">
        <f t="shared" ref="B42:Z42" si="24">IF($B175&gt;=0.9, B$36,B$36*$B175)</f>
        <v>2.8101585505196143</v>
      </c>
      <c r="C42" s="456">
        <f t="shared" si="24"/>
        <v>2.8101585505196143</v>
      </c>
      <c r="D42" s="456">
        <f t="shared" si="24"/>
        <v>2.8101585505196143</v>
      </c>
      <c r="E42" s="456">
        <f t="shared" si="24"/>
        <v>2.8101585505196143</v>
      </c>
      <c r="F42" s="456">
        <f t="shared" si="24"/>
        <v>3.2116097720224164</v>
      </c>
      <c r="G42" s="456">
        <f t="shared" si="24"/>
        <v>3.2116097720224164</v>
      </c>
      <c r="H42" s="456">
        <f t="shared" si="24"/>
        <v>3.2116097720224164</v>
      </c>
      <c r="I42" s="456">
        <f t="shared" si="24"/>
        <v>3.2116097720224164</v>
      </c>
      <c r="J42" s="456">
        <f t="shared" si="24"/>
        <v>3.2116097720224164</v>
      </c>
      <c r="K42" s="456">
        <f t="shared" si="24"/>
        <v>3.6130609935252189</v>
      </c>
      <c r="L42" s="456">
        <f t="shared" si="24"/>
        <v>3.6130609935252189</v>
      </c>
      <c r="M42" s="456">
        <f t="shared" si="24"/>
        <v>3.6130609935252189</v>
      </c>
      <c r="N42" s="456">
        <f t="shared" si="24"/>
        <v>4.014512215028021</v>
      </c>
      <c r="O42" s="456">
        <f t="shared" si="24"/>
        <v>4.014512215028021</v>
      </c>
      <c r="P42" s="456">
        <f t="shared" si="24"/>
        <v>4.014512215028021</v>
      </c>
      <c r="Q42" s="456">
        <f t="shared" si="24"/>
        <v>4.014512215028021</v>
      </c>
      <c r="R42" s="456">
        <f t="shared" si="24"/>
        <v>4.014512215028021</v>
      </c>
      <c r="S42" s="456">
        <f t="shared" si="24"/>
        <v>4.014512215028021</v>
      </c>
      <c r="T42" s="456">
        <f t="shared" si="24"/>
        <v>4.014512215028021</v>
      </c>
      <c r="U42" s="456">
        <f t="shared" si="24"/>
        <v>4.014512215028021</v>
      </c>
      <c r="V42" s="456">
        <f t="shared" si="24"/>
        <v>4.014512215028021</v>
      </c>
      <c r="W42" s="456">
        <f t="shared" si="24"/>
        <v>4.014512215028021</v>
      </c>
      <c r="X42" s="456">
        <f t="shared" si="24"/>
        <v>4.014512215028021</v>
      </c>
      <c r="Y42" s="453">
        <f t="shared" si="24"/>
        <v>4.014512215028021</v>
      </c>
      <c r="Z42" s="456">
        <f t="shared" si="24"/>
        <v>2.8101585505196143</v>
      </c>
      <c r="AA42" s="90">
        <v>27</v>
      </c>
      <c r="AF42" s="109"/>
      <c r="AG42" s="438">
        <v>6</v>
      </c>
      <c r="AH42" s="432">
        <f>IF(AH41-$AG42&lt;0,0,AH41-$AG42)</f>
        <v>4</v>
      </c>
      <c r="AI42" s="432">
        <f>IF(ISERROR((AH42/$AH$52)*$AH$22),0,(AH42/$AH$52)*$AH$22)</f>
        <v>0.5714285714285714</v>
      </c>
      <c r="AJ42" s="87"/>
    </row>
    <row r="43" spans="1:37" ht="12" x14ac:dyDescent="0.2">
      <c r="A43" s="455" t="s">
        <v>171</v>
      </c>
      <c r="B43" s="456">
        <f t="shared" ref="B43:Z43" si="25">IF($B176&gt;=0.9, B$36,B$36*$B176)</f>
        <v>2.8541992491430435</v>
      </c>
      <c r="C43" s="456">
        <f t="shared" si="25"/>
        <v>2.8541992491430435</v>
      </c>
      <c r="D43" s="456">
        <f t="shared" si="25"/>
        <v>2.8541992491430435</v>
      </c>
      <c r="E43" s="456">
        <f t="shared" si="25"/>
        <v>2.8541992491430435</v>
      </c>
      <c r="F43" s="456">
        <f t="shared" si="25"/>
        <v>3.2619419990206211</v>
      </c>
      <c r="G43" s="456">
        <f t="shared" si="25"/>
        <v>3.2619419990206211</v>
      </c>
      <c r="H43" s="456">
        <f t="shared" si="25"/>
        <v>3.2619419990206211</v>
      </c>
      <c r="I43" s="456">
        <f t="shared" si="25"/>
        <v>3.2619419990206211</v>
      </c>
      <c r="J43" s="456">
        <f t="shared" si="25"/>
        <v>3.2619419990206211</v>
      </c>
      <c r="K43" s="456">
        <f t="shared" si="25"/>
        <v>3.6696847488981992</v>
      </c>
      <c r="L43" s="456">
        <f t="shared" si="25"/>
        <v>3.6696847488981992</v>
      </c>
      <c r="M43" s="456">
        <f t="shared" si="25"/>
        <v>3.6696847488981992</v>
      </c>
      <c r="N43" s="456">
        <f t="shared" si="25"/>
        <v>4.0774274987757764</v>
      </c>
      <c r="O43" s="456">
        <f t="shared" si="25"/>
        <v>4.0774274987757764</v>
      </c>
      <c r="P43" s="456">
        <f t="shared" si="25"/>
        <v>4.0774274987757764</v>
      </c>
      <c r="Q43" s="456">
        <f t="shared" si="25"/>
        <v>4.0774274987757764</v>
      </c>
      <c r="R43" s="456">
        <f t="shared" si="25"/>
        <v>4.0774274987757764</v>
      </c>
      <c r="S43" s="456">
        <f t="shared" si="25"/>
        <v>4.0774274987757764</v>
      </c>
      <c r="T43" s="456">
        <f t="shared" si="25"/>
        <v>4.0774274987757764</v>
      </c>
      <c r="U43" s="456">
        <f t="shared" si="25"/>
        <v>4.0774274987757764</v>
      </c>
      <c r="V43" s="456">
        <f t="shared" si="25"/>
        <v>4.0774274987757764</v>
      </c>
      <c r="W43" s="456">
        <f t="shared" si="25"/>
        <v>4.0774274987757764</v>
      </c>
      <c r="X43" s="456">
        <f t="shared" si="25"/>
        <v>4.0774274987757764</v>
      </c>
      <c r="Y43" s="453">
        <f t="shared" si="25"/>
        <v>4.0774274987757764</v>
      </c>
      <c r="Z43" s="456">
        <f t="shared" si="25"/>
        <v>2.8541992491430435</v>
      </c>
      <c r="AA43" s="92">
        <v>28</v>
      </c>
      <c r="AF43" s="107"/>
      <c r="AG43" s="436" t="s">
        <v>172</v>
      </c>
      <c r="AH43" s="437">
        <f>HLOOKUP($AH$20,$B$14:$AA$67,AA59,FALSE)</f>
        <v>4</v>
      </c>
      <c r="AI43" s="437"/>
      <c r="AJ43" s="87"/>
    </row>
    <row r="44" spans="1:37" ht="12" x14ac:dyDescent="0.2">
      <c r="A44" s="455" t="s">
        <v>173</v>
      </c>
      <c r="B44" s="456">
        <f t="shared" ref="B44:Z44" si="26">IF(B$13="Deploy",B$36,IF($B177&gt;=0.9, B$36,B$36*$B177))</f>
        <v>0.50580075085695619</v>
      </c>
      <c r="C44" s="456">
        <f t="shared" si="26"/>
        <v>0.50580075085695619</v>
      </c>
      <c r="D44" s="456">
        <f t="shared" si="26"/>
        <v>0.50580075085695619</v>
      </c>
      <c r="E44" s="456">
        <f t="shared" si="26"/>
        <v>0.50580075085695619</v>
      </c>
      <c r="F44" s="456">
        <f t="shared" si="26"/>
        <v>0.57805800097937854</v>
      </c>
      <c r="G44" s="456">
        <f t="shared" si="26"/>
        <v>0.57805800097937854</v>
      </c>
      <c r="H44" s="456">
        <f t="shared" si="26"/>
        <v>0.57805800097937854</v>
      </c>
      <c r="I44" s="456">
        <f t="shared" si="26"/>
        <v>0.57805800097937854</v>
      </c>
      <c r="J44" s="456">
        <f t="shared" si="26"/>
        <v>0.57805800097937854</v>
      </c>
      <c r="K44" s="456">
        <f t="shared" si="26"/>
        <v>0.650315251101801</v>
      </c>
      <c r="L44" s="456">
        <f t="shared" si="26"/>
        <v>0.650315251101801</v>
      </c>
      <c r="M44" s="456">
        <f t="shared" si="26"/>
        <v>0.650315251101801</v>
      </c>
      <c r="N44" s="456">
        <f t="shared" si="26"/>
        <v>0.72257250122422323</v>
      </c>
      <c r="O44" s="456">
        <f t="shared" si="26"/>
        <v>0.72257250122422323</v>
      </c>
      <c r="P44" s="456">
        <f t="shared" si="26"/>
        <v>0.72257250122422323</v>
      </c>
      <c r="Q44" s="456">
        <f t="shared" si="26"/>
        <v>4.8</v>
      </c>
      <c r="R44" s="456">
        <f t="shared" si="26"/>
        <v>4.8</v>
      </c>
      <c r="S44" s="456">
        <f t="shared" si="26"/>
        <v>4.8</v>
      </c>
      <c r="T44" s="456">
        <f t="shared" si="26"/>
        <v>4.8</v>
      </c>
      <c r="U44" s="456">
        <f t="shared" si="26"/>
        <v>4.8</v>
      </c>
      <c r="V44" s="456">
        <f t="shared" si="26"/>
        <v>4.8</v>
      </c>
      <c r="W44" s="456">
        <f t="shared" si="26"/>
        <v>0.72257250122422323</v>
      </c>
      <c r="X44" s="456">
        <f t="shared" si="26"/>
        <v>0.72257250122422323</v>
      </c>
      <c r="Y44" s="453">
        <f t="shared" si="26"/>
        <v>0.72257250122422323</v>
      </c>
      <c r="Z44" s="456">
        <f t="shared" si="26"/>
        <v>0.50580075085695619</v>
      </c>
      <c r="AA44" s="90">
        <v>29</v>
      </c>
      <c r="AF44" s="107"/>
      <c r="AG44" s="438">
        <v>6</v>
      </c>
      <c r="AH44" s="432">
        <f>IF(AH43-$AG44&lt;0,0,AH43-$AG44)</f>
        <v>0</v>
      </c>
      <c r="AI44" s="432">
        <f>IF(ISERROR((AH44/$AH$52)*$AH$22),0,(AH44/$AH$52)*$AH$22)</f>
        <v>0</v>
      </c>
      <c r="AJ44" s="87"/>
    </row>
    <row r="45" spans="1:37" ht="12" x14ac:dyDescent="0.2">
      <c r="A45" s="455" t="s">
        <v>174</v>
      </c>
      <c r="B45" s="456">
        <f t="shared" ref="B45:Z45" si="27">IF($B178&gt;=0.9, B$36,B$36*$B178)</f>
        <v>2.8541992491430435</v>
      </c>
      <c r="C45" s="456">
        <f t="shared" si="27"/>
        <v>2.8541992491430435</v>
      </c>
      <c r="D45" s="456">
        <f t="shared" si="27"/>
        <v>2.8541992491430435</v>
      </c>
      <c r="E45" s="456">
        <f t="shared" si="27"/>
        <v>2.8541992491430435</v>
      </c>
      <c r="F45" s="456">
        <f t="shared" si="27"/>
        <v>3.2619419990206211</v>
      </c>
      <c r="G45" s="456">
        <f t="shared" si="27"/>
        <v>3.2619419990206211</v>
      </c>
      <c r="H45" s="456">
        <f t="shared" si="27"/>
        <v>3.2619419990206211</v>
      </c>
      <c r="I45" s="456">
        <f t="shared" si="27"/>
        <v>3.2619419990206211</v>
      </c>
      <c r="J45" s="456">
        <f t="shared" si="27"/>
        <v>3.2619419990206211</v>
      </c>
      <c r="K45" s="456">
        <f t="shared" si="27"/>
        <v>3.6696847488981992</v>
      </c>
      <c r="L45" s="456">
        <f t="shared" si="27"/>
        <v>3.6696847488981992</v>
      </c>
      <c r="M45" s="456">
        <f t="shared" si="27"/>
        <v>3.6696847488981992</v>
      </c>
      <c r="N45" s="456">
        <f t="shared" si="27"/>
        <v>4.0774274987757764</v>
      </c>
      <c r="O45" s="456">
        <f t="shared" si="27"/>
        <v>4.0774274987757764</v>
      </c>
      <c r="P45" s="456">
        <f t="shared" si="27"/>
        <v>4.0774274987757764</v>
      </c>
      <c r="Q45" s="456">
        <f t="shared" si="27"/>
        <v>4.0774274987757764</v>
      </c>
      <c r="R45" s="456">
        <f t="shared" si="27"/>
        <v>4.0774274987757764</v>
      </c>
      <c r="S45" s="456">
        <f t="shared" si="27"/>
        <v>4.0774274987757764</v>
      </c>
      <c r="T45" s="456">
        <f t="shared" si="27"/>
        <v>4.0774274987757764</v>
      </c>
      <c r="U45" s="456">
        <f t="shared" si="27"/>
        <v>4.0774274987757764</v>
      </c>
      <c r="V45" s="456">
        <f t="shared" si="27"/>
        <v>4.0774274987757764</v>
      </c>
      <c r="W45" s="456">
        <f t="shared" si="27"/>
        <v>4.0774274987757764</v>
      </c>
      <c r="X45" s="456">
        <f t="shared" si="27"/>
        <v>4.0774274987757764</v>
      </c>
      <c r="Y45" s="453">
        <f t="shared" si="27"/>
        <v>4.0774274987757764</v>
      </c>
      <c r="Z45" s="456">
        <f t="shared" si="27"/>
        <v>2.8541992491430435</v>
      </c>
      <c r="AA45" s="92">
        <v>30</v>
      </c>
      <c r="AF45" s="107"/>
      <c r="AG45" s="436" t="s">
        <v>175</v>
      </c>
      <c r="AH45" s="437">
        <f>HLOOKUP($AH$20,$B$14:$AA$67,AA61,FALSE)</f>
        <v>7</v>
      </c>
      <c r="AI45" s="437"/>
      <c r="AJ45" s="87"/>
    </row>
    <row r="46" spans="1:37" ht="12" x14ac:dyDescent="0.2">
      <c r="A46" s="457" t="s">
        <v>176</v>
      </c>
      <c r="B46" s="456">
        <f t="shared" ref="B46:Z46" si="28">IF(B$13="Deploy",B$36,IF($B179&gt;=0.9, B$36,B$36*$B179))</f>
        <v>0.50580075085695619</v>
      </c>
      <c r="C46" s="456">
        <f t="shared" si="28"/>
        <v>0.50580075085695619</v>
      </c>
      <c r="D46" s="456">
        <f t="shared" si="28"/>
        <v>0.50580075085695619</v>
      </c>
      <c r="E46" s="456">
        <f t="shared" si="28"/>
        <v>0.50580075085695619</v>
      </c>
      <c r="F46" s="456">
        <f t="shared" si="28"/>
        <v>0.57805800097937854</v>
      </c>
      <c r="G46" s="456">
        <f t="shared" si="28"/>
        <v>0.57805800097937854</v>
      </c>
      <c r="H46" s="456">
        <f t="shared" si="28"/>
        <v>0.57805800097937854</v>
      </c>
      <c r="I46" s="456">
        <f t="shared" si="28"/>
        <v>0.57805800097937854</v>
      </c>
      <c r="J46" s="456">
        <f t="shared" si="28"/>
        <v>0.57805800097937854</v>
      </c>
      <c r="K46" s="456">
        <f t="shared" si="28"/>
        <v>0.650315251101801</v>
      </c>
      <c r="L46" s="456">
        <f t="shared" si="28"/>
        <v>0.650315251101801</v>
      </c>
      <c r="M46" s="456">
        <f t="shared" si="28"/>
        <v>0.650315251101801</v>
      </c>
      <c r="N46" s="456">
        <f t="shared" si="28"/>
        <v>0.72257250122422323</v>
      </c>
      <c r="O46" s="456">
        <f t="shared" si="28"/>
        <v>0.72257250122422323</v>
      </c>
      <c r="P46" s="456">
        <f t="shared" si="28"/>
        <v>0.72257250122422323</v>
      </c>
      <c r="Q46" s="456">
        <f t="shared" si="28"/>
        <v>4.8</v>
      </c>
      <c r="R46" s="456">
        <f t="shared" si="28"/>
        <v>4.8</v>
      </c>
      <c r="S46" s="456">
        <f t="shared" si="28"/>
        <v>4.8</v>
      </c>
      <c r="T46" s="456">
        <f t="shared" si="28"/>
        <v>4.8</v>
      </c>
      <c r="U46" s="456">
        <f t="shared" si="28"/>
        <v>4.8</v>
      </c>
      <c r="V46" s="456">
        <f t="shared" si="28"/>
        <v>4.8</v>
      </c>
      <c r="W46" s="456">
        <f t="shared" si="28"/>
        <v>0.72257250122422323</v>
      </c>
      <c r="X46" s="456">
        <f t="shared" si="28"/>
        <v>0.72257250122422323</v>
      </c>
      <c r="Y46" s="453">
        <f t="shared" si="28"/>
        <v>0.72257250122422323</v>
      </c>
      <c r="Z46" s="456">
        <f t="shared" si="28"/>
        <v>0.50580075085695619</v>
      </c>
      <c r="AA46" s="90">
        <v>31</v>
      </c>
      <c r="AF46" s="107"/>
      <c r="AG46" s="438">
        <v>7</v>
      </c>
      <c r="AH46" s="432">
        <f>IF(AH45-$AG46&lt;0,0,AH45-$AG46)</f>
        <v>0</v>
      </c>
      <c r="AI46" s="432">
        <f>IF(ISERROR((AH46/$AH$52)*$AH$22),0,(AH46/$AH$52)*$AH$22)</f>
        <v>0</v>
      </c>
      <c r="AJ46" s="34"/>
    </row>
    <row r="47" spans="1:37" x14ac:dyDescent="0.2">
      <c r="A47" s="458" t="s">
        <v>177</v>
      </c>
      <c r="B47" s="456">
        <f t="shared" ref="B47:Z47" si="29">IF(B$13="Deploy",B$36,IF($B180&gt;=0.9, B$36,B$36*$B180))</f>
        <v>3.36</v>
      </c>
      <c r="C47" s="456">
        <f t="shared" si="29"/>
        <v>3.36</v>
      </c>
      <c r="D47" s="456">
        <f t="shared" si="29"/>
        <v>3.36</v>
      </c>
      <c r="E47" s="456">
        <f t="shared" si="29"/>
        <v>3.36</v>
      </c>
      <c r="F47" s="456">
        <f t="shared" si="29"/>
        <v>3.84</v>
      </c>
      <c r="G47" s="456">
        <f t="shared" si="29"/>
        <v>3.84</v>
      </c>
      <c r="H47" s="456">
        <f t="shared" si="29"/>
        <v>3.84</v>
      </c>
      <c r="I47" s="456">
        <f t="shared" si="29"/>
        <v>3.84</v>
      </c>
      <c r="J47" s="456">
        <f t="shared" si="29"/>
        <v>3.84</v>
      </c>
      <c r="K47" s="456">
        <f t="shared" si="29"/>
        <v>4.32</v>
      </c>
      <c r="L47" s="456">
        <f t="shared" si="29"/>
        <v>4.32</v>
      </c>
      <c r="M47" s="456">
        <f t="shared" si="29"/>
        <v>4.32</v>
      </c>
      <c r="N47" s="456">
        <f t="shared" si="29"/>
        <v>4.8</v>
      </c>
      <c r="O47" s="456">
        <f t="shared" si="29"/>
        <v>4.8</v>
      </c>
      <c r="P47" s="456">
        <f t="shared" si="29"/>
        <v>4.8</v>
      </c>
      <c r="Q47" s="456">
        <f t="shared" si="29"/>
        <v>4.8</v>
      </c>
      <c r="R47" s="456">
        <f t="shared" si="29"/>
        <v>4.8</v>
      </c>
      <c r="S47" s="456">
        <f t="shared" si="29"/>
        <v>4.8</v>
      </c>
      <c r="T47" s="456">
        <f t="shared" si="29"/>
        <v>4.8</v>
      </c>
      <c r="U47" s="456">
        <f t="shared" si="29"/>
        <v>4.8</v>
      </c>
      <c r="V47" s="456">
        <f t="shared" si="29"/>
        <v>4.8</v>
      </c>
      <c r="W47" s="456">
        <f t="shared" si="29"/>
        <v>4.8</v>
      </c>
      <c r="X47" s="456">
        <f t="shared" si="29"/>
        <v>4.8</v>
      </c>
      <c r="Y47" s="453">
        <f t="shared" si="29"/>
        <v>4.8</v>
      </c>
      <c r="Z47" s="456">
        <f t="shared" si="29"/>
        <v>3.36</v>
      </c>
      <c r="AA47" s="92">
        <v>32</v>
      </c>
      <c r="AF47" s="107"/>
      <c r="AG47" s="436" t="s">
        <v>178</v>
      </c>
      <c r="AH47" s="437">
        <f>HLOOKUP($AH$20,$B$14:$AA$67,AA63,FALSE)</f>
        <v>14</v>
      </c>
      <c r="AI47" s="437"/>
      <c r="AJ47" s="87"/>
      <c r="AK47" s="11"/>
    </row>
    <row r="48" spans="1:37" s="11" customFormat="1" ht="12" x14ac:dyDescent="0.2">
      <c r="A48" s="452" t="s">
        <v>179</v>
      </c>
      <c r="B48" s="460"/>
      <c r="C48" s="36"/>
      <c r="D48" s="36"/>
      <c r="E48" s="36"/>
      <c r="F48" s="36"/>
      <c r="G48" s="36"/>
      <c r="H48" s="36"/>
      <c r="I48" s="36"/>
      <c r="J48" s="36"/>
      <c r="K48" s="36"/>
      <c r="L48" s="36"/>
      <c r="M48" s="36"/>
      <c r="N48" s="36"/>
      <c r="O48" s="36"/>
      <c r="P48" s="36"/>
      <c r="Q48" s="36"/>
      <c r="R48" s="36"/>
      <c r="S48" s="36"/>
      <c r="T48" s="36"/>
      <c r="U48" s="36"/>
      <c r="V48" s="36"/>
      <c r="W48" s="36"/>
      <c r="X48" s="36"/>
      <c r="Y48" s="36"/>
      <c r="Z48" s="461"/>
      <c r="AA48" s="90">
        <v>33</v>
      </c>
      <c r="AB48" s="7"/>
      <c r="AC48" s="7"/>
      <c r="AD48" s="7"/>
      <c r="AE48" s="7"/>
      <c r="AF48" s="107"/>
      <c r="AG48" s="438">
        <v>4</v>
      </c>
      <c r="AH48" s="432">
        <f>IF(AH47-$AG48&lt;0,0,AH47-$AG48)</f>
        <v>10</v>
      </c>
      <c r="AI48" s="432">
        <f>IF(ISERROR((AH48/$AH$52)*$AH$22),0,(AH48/$AH$52)*$AH$22)</f>
        <v>1.4285714285714284</v>
      </c>
      <c r="AJ48" s="87"/>
    </row>
    <row r="49" spans="1:36" s="11" customFormat="1" ht="12" x14ac:dyDescent="0.2">
      <c r="A49" s="471" t="s">
        <v>180</v>
      </c>
      <c r="B49" s="464">
        <f>ROUNDUP(B$35*2,0)</f>
        <v>9</v>
      </c>
      <c r="C49" s="464">
        <f t="shared" ref="C49:E49" si="30">ROUNDUP(C$35*2,0)</f>
        <v>9</v>
      </c>
      <c r="D49" s="464">
        <f t="shared" si="30"/>
        <v>9</v>
      </c>
      <c r="E49" s="464">
        <f t="shared" si="30"/>
        <v>9</v>
      </c>
      <c r="F49" s="464">
        <f>ROUNDUP(3*F$35,0)</f>
        <v>15</v>
      </c>
      <c r="G49" s="464">
        <f>ROUNDUP(3*G$35,0)</f>
        <v>15</v>
      </c>
      <c r="H49" s="464">
        <f>ROUNDUP(H$35*3,0)+3</f>
        <v>18</v>
      </c>
      <c r="I49" s="464">
        <f t="shared" ref="I49:J49" si="31">ROUNDUP(I$35*3,0)+3</f>
        <v>18</v>
      </c>
      <c r="J49" s="464">
        <f t="shared" si="31"/>
        <v>18</v>
      </c>
      <c r="K49" s="464">
        <f>ROUNDUP(K$35*3,0)+1</f>
        <v>18</v>
      </c>
      <c r="L49" s="464">
        <f t="shared" ref="L49:M49" si="32">ROUNDUP(L$35*3,0)+1</f>
        <v>18</v>
      </c>
      <c r="M49" s="464">
        <f t="shared" si="32"/>
        <v>18</v>
      </c>
      <c r="N49" s="464">
        <f>ROUNDUP(N$35*4,0)</f>
        <v>24</v>
      </c>
      <c r="O49" s="464">
        <f t="shared" ref="O49:Y49" si="33">ROUNDUP(O$35*4,0)</f>
        <v>24</v>
      </c>
      <c r="P49" s="464">
        <f t="shared" si="33"/>
        <v>24</v>
      </c>
      <c r="Q49" s="464">
        <f t="shared" si="33"/>
        <v>24</v>
      </c>
      <c r="R49" s="464">
        <f t="shared" si="33"/>
        <v>24</v>
      </c>
      <c r="S49" s="464">
        <f t="shared" si="33"/>
        <v>24</v>
      </c>
      <c r="T49" s="464">
        <f t="shared" si="33"/>
        <v>24</v>
      </c>
      <c r="U49" s="464">
        <f t="shared" si="33"/>
        <v>24</v>
      </c>
      <c r="V49" s="464">
        <f t="shared" si="33"/>
        <v>24</v>
      </c>
      <c r="W49" s="464">
        <f t="shared" si="33"/>
        <v>24</v>
      </c>
      <c r="X49" s="464">
        <f t="shared" si="33"/>
        <v>24</v>
      </c>
      <c r="Y49" s="557">
        <f t="shared" si="33"/>
        <v>24</v>
      </c>
      <c r="Z49" s="464">
        <f>ROUNDUP(Z$35*2,0)</f>
        <v>9</v>
      </c>
      <c r="AA49" s="92">
        <v>34</v>
      </c>
      <c r="AB49" s="7"/>
      <c r="AC49" s="7"/>
      <c r="AD49" s="7"/>
      <c r="AF49" s="107"/>
      <c r="AG49" s="436" t="s">
        <v>181</v>
      </c>
      <c r="AH49" s="437">
        <f>HLOOKUP($AH$20,$B$14:$AA$67,AA65,FALSE)</f>
        <v>7</v>
      </c>
      <c r="AI49" s="437"/>
      <c r="AJ49" s="87"/>
    </row>
    <row r="50" spans="1:36" s="11" customFormat="1" thickBot="1" x14ac:dyDescent="0.25">
      <c r="A50" s="471" t="s">
        <v>148</v>
      </c>
      <c r="B50" s="464">
        <f>ROUNDUP(B$35*2,0)-1</f>
        <v>8</v>
      </c>
      <c r="C50" s="464">
        <f t="shared" ref="C50:E50" si="34">ROUNDUP(C$35*2,0)-1</f>
        <v>8</v>
      </c>
      <c r="D50" s="464">
        <f t="shared" si="34"/>
        <v>8</v>
      </c>
      <c r="E50" s="464">
        <f t="shared" si="34"/>
        <v>8</v>
      </c>
      <c r="F50" s="464">
        <f>ROUNDUP(F$35*3,0)-1</f>
        <v>14</v>
      </c>
      <c r="G50" s="464">
        <f>ROUNDUP(G$35*3,0)-1</f>
        <v>14</v>
      </c>
      <c r="H50" s="464">
        <f>ROUNDUP(H$35*3,0)+2</f>
        <v>17</v>
      </c>
      <c r="I50" s="464">
        <f t="shared" ref="I50:J50" si="35">ROUNDUP(I$35*3,0)+2</f>
        <v>17</v>
      </c>
      <c r="J50" s="464">
        <f t="shared" si="35"/>
        <v>17</v>
      </c>
      <c r="K50" s="464">
        <f>ROUNDUP(K$35*3,0)</f>
        <v>17</v>
      </c>
      <c r="L50" s="464">
        <f t="shared" ref="L50:M50" si="36">ROUNDUP(L$35*3,0)</f>
        <v>17</v>
      </c>
      <c r="M50" s="464">
        <f t="shared" si="36"/>
        <v>17</v>
      </c>
      <c r="N50" s="464">
        <f>ROUNDUP(N$35*3,0)+2</f>
        <v>20</v>
      </c>
      <c r="O50" s="464">
        <f t="shared" ref="O50:Y50" si="37">ROUNDUP(O$35*3,0)+2</f>
        <v>20</v>
      </c>
      <c r="P50" s="464">
        <f t="shared" si="37"/>
        <v>20</v>
      </c>
      <c r="Q50" s="464">
        <f t="shared" si="37"/>
        <v>20</v>
      </c>
      <c r="R50" s="464">
        <f t="shared" si="37"/>
        <v>20</v>
      </c>
      <c r="S50" s="464">
        <f t="shared" si="37"/>
        <v>20</v>
      </c>
      <c r="T50" s="464">
        <f t="shared" si="37"/>
        <v>20</v>
      </c>
      <c r="U50" s="464">
        <f t="shared" si="37"/>
        <v>20</v>
      </c>
      <c r="V50" s="464">
        <f t="shared" si="37"/>
        <v>20</v>
      </c>
      <c r="W50" s="464">
        <f t="shared" si="37"/>
        <v>20</v>
      </c>
      <c r="X50" s="464">
        <f t="shared" si="37"/>
        <v>20</v>
      </c>
      <c r="Y50" s="557">
        <f t="shared" si="37"/>
        <v>20</v>
      </c>
      <c r="Z50" s="464">
        <f>ROUNDUP(Z$35*2,0)-1</f>
        <v>8</v>
      </c>
      <c r="AA50" s="90">
        <v>35</v>
      </c>
      <c r="AF50" s="107"/>
      <c r="AG50" s="441">
        <v>4</v>
      </c>
      <c r="AH50" s="442">
        <f>IF(AH49-$AG50&lt;0,0,AH49-$AG50)</f>
        <v>3</v>
      </c>
      <c r="AI50" s="442">
        <f>IF(ISERROR((AH50/$AH$52)*$AH$22),0,(AH50/$AH$52)*$AH$22)</f>
        <v>0.42857142857142855</v>
      </c>
      <c r="AJ50" s="87"/>
    </row>
    <row r="51" spans="1:36" s="11" customFormat="1" ht="12" x14ac:dyDescent="0.2">
      <c r="A51" s="465" t="s">
        <v>182</v>
      </c>
      <c r="B51" s="467">
        <f>B49</f>
        <v>9</v>
      </c>
      <c r="C51" s="467">
        <f t="shared" ref="C51:G51" si="38">C49</f>
        <v>9</v>
      </c>
      <c r="D51" s="467">
        <f t="shared" si="38"/>
        <v>9</v>
      </c>
      <c r="E51" s="467">
        <f t="shared" si="38"/>
        <v>9</v>
      </c>
      <c r="F51" s="467">
        <f t="shared" si="38"/>
        <v>15</v>
      </c>
      <c r="G51" s="467">
        <f t="shared" si="38"/>
        <v>15</v>
      </c>
      <c r="H51" s="467">
        <f t="shared" ref="H51:Y51" si="39">H49+2</f>
        <v>20</v>
      </c>
      <c r="I51" s="467">
        <f t="shared" si="39"/>
        <v>20</v>
      </c>
      <c r="J51" s="467">
        <f t="shared" si="39"/>
        <v>20</v>
      </c>
      <c r="K51" s="467">
        <f t="shared" si="39"/>
        <v>20</v>
      </c>
      <c r="L51" s="467">
        <f t="shared" si="39"/>
        <v>20</v>
      </c>
      <c r="M51" s="467">
        <f t="shared" si="39"/>
        <v>20</v>
      </c>
      <c r="N51" s="467">
        <f t="shared" si="39"/>
        <v>26</v>
      </c>
      <c r="O51" s="467">
        <f t="shared" si="39"/>
        <v>26</v>
      </c>
      <c r="P51" s="467">
        <f t="shared" si="39"/>
        <v>26</v>
      </c>
      <c r="Q51" s="467">
        <f t="shared" si="39"/>
        <v>26</v>
      </c>
      <c r="R51" s="467">
        <f t="shared" si="39"/>
        <v>26</v>
      </c>
      <c r="S51" s="467">
        <f t="shared" si="39"/>
        <v>26</v>
      </c>
      <c r="T51" s="467">
        <f t="shared" si="39"/>
        <v>26</v>
      </c>
      <c r="U51" s="467">
        <f t="shared" si="39"/>
        <v>26</v>
      </c>
      <c r="V51" s="467">
        <f t="shared" si="39"/>
        <v>26</v>
      </c>
      <c r="W51" s="467">
        <f t="shared" si="39"/>
        <v>26</v>
      </c>
      <c r="X51" s="467">
        <f t="shared" si="39"/>
        <v>26</v>
      </c>
      <c r="Y51" s="558">
        <f t="shared" si="39"/>
        <v>26</v>
      </c>
      <c r="Z51" s="467">
        <v>9</v>
      </c>
      <c r="AA51" s="92">
        <v>36</v>
      </c>
      <c r="AF51" s="107"/>
      <c r="AG51" s="108" t="s">
        <v>155</v>
      </c>
      <c r="AH51" s="108" t="s">
        <v>156</v>
      </c>
      <c r="AI51" s="108" t="s">
        <v>183</v>
      </c>
      <c r="AJ51" s="87"/>
    </row>
    <row r="52" spans="1:36" s="11" customFormat="1" ht="12" x14ac:dyDescent="0.2">
      <c r="A52" s="465" t="s">
        <v>152</v>
      </c>
      <c r="B52" s="468">
        <f t="shared" ref="B52:Y52" si="40">B50</f>
        <v>8</v>
      </c>
      <c r="C52" s="468">
        <f t="shared" si="40"/>
        <v>8</v>
      </c>
      <c r="D52" s="468">
        <f t="shared" si="40"/>
        <v>8</v>
      </c>
      <c r="E52" s="468">
        <f t="shared" si="40"/>
        <v>8</v>
      </c>
      <c r="F52" s="468">
        <f t="shared" si="40"/>
        <v>14</v>
      </c>
      <c r="G52" s="468">
        <f t="shared" si="40"/>
        <v>14</v>
      </c>
      <c r="H52" s="468">
        <f t="shared" si="40"/>
        <v>17</v>
      </c>
      <c r="I52" s="468">
        <f t="shared" si="40"/>
        <v>17</v>
      </c>
      <c r="J52" s="468">
        <f t="shared" si="40"/>
        <v>17</v>
      </c>
      <c r="K52" s="468">
        <f t="shared" si="40"/>
        <v>17</v>
      </c>
      <c r="L52" s="468">
        <f t="shared" si="40"/>
        <v>17</v>
      </c>
      <c r="M52" s="468">
        <f t="shared" si="40"/>
        <v>17</v>
      </c>
      <c r="N52" s="468">
        <f t="shared" si="40"/>
        <v>20</v>
      </c>
      <c r="O52" s="468">
        <f t="shared" si="40"/>
        <v>20</v>
      </c>
      <c r="P52" s="468">
        <f t="shared" si="40"/>
        <v>20</v>
      </c>
      <c r="Q52" s="468">
        <f t="shared" si="40"/>
        <v>20</v>
      </c>
      <c r="R52" s="468">
        <f t="shared" si="40"/>
        <v>20</v>
      </c>
      <c r="S52" s="468">
        <f t="shared" si="40"/>
        <v>20</v>
      </c>
      <c r="T52" s="468">
        <f t="shared" si="40"/>
        <v>20</v>
      </c>
      <c r="U52" s="468">
        <f t="shared" si="40"/>
        <v>20</v>
      </c>
      <c r="V52" s="468">
        <f t="shared" si="40"/>
        <v>20</v>
      </c>
      <c r="W52" s="468">
        <f t="shared" si="40"/>
        <v>20</v>
      </c>
      <c r="X52" s="468">
        <f t="shared" si="40"/>
        <v>20</v>
      </c>
      <c r="Y52" s="351">
        <f t="shared" si="40"/>
        <v>20</v>
      </c>
      <c r="Z52" s="467">
        <v>8</v>
      </c>
      <c r="AA52" s="90">
        <v>37</v>
      </c>
      <c r="AF52" s="107"/>
      <c r="AG52" s="447">
        <f>SUM(AG40,AG42,AG44,AG46,AG48,AG50)</f>
        <v>35</v>
      </c>
      <c r="AH52" s="447">
        <f>SUM(AH39,AH41,AH43,AH45,AH47,AH49)</f>
        <v>42</v>
      </c>
      <c r="AI52" s="447">
        <f>SUM(AI39:AI50)</f>
        <v>2.4285714285714284</v>
      </c>
      <c r="AJ52" s="87"/>
    </row>
    <row r="53" spans="1:36" s="11" customFormat="1" ht="12" x14ac:dyDescent="0.2">
      <c r="A53" s="469" t="s">
        <v>184</v>
      </c>
      <c r="B53" s="558"/>
      <c r="C53" s="67"/>
      <c r="D53" s="67"/>
      <c r="E53" s="67"/>
      <c r="F53" s="67"/>
      <c r="G53" s="67"/>
      <c r="H53" s="67"/>
      <c r="I53" s="64"/>
      <c r="J53" s="67"/>
      <c r="K53" s="67"/>
      <c r="L53" s="67"/>
      <c r="M53" s="67"/>
      <c r="N53" s="67"/>
      <c r="O53" s="67"/>
      <c r="P53" s="67"/>
      <c r="Q53" s="67"/>
      <c r="R53" s="67"/>
      <c r="S53" s="67"/>
      <c r="T53" s="67"/>
      <c r="U53" s="67"/>
      <c r="V53" s="67"/>
      <c r="W53" s="67"/>
      <c r="X53" s="67"/>
      <c r="Y53" s="68"/>
      <c r="Z53" s="467"/>
      <c r="AA53" s="92">
        <v>38</v>
      </c>
      <c r="AF53" s="107" t="s">
        <v>159</v>
      </c>
      <c r="AG53" s="87"/>
      <c r="AH53" s="87"/>
      <c r="AI53" s="87"/>
      <c r="AJ53" s="87"/>
    </row>
    <row r="54" spans="1:36" s="11" customFormat="1" ht="12" x14ac:dyDescent="0.2">
      <c r="A54" s="471" t="s">
        <v>185</v>
      </c>
      <c r="B54" s="472">
        <f>ROUND($B124/$B$2*B$35*0.5,0)</f>
        <v>5</v>
      </c>
      <c r="C54" s="472">
        <f>ROUND($B124/$B$2*C$35*0.5,0)</f>
        <v>5</v>
      </c>
      <c r="D54" s="472">
        <f>ROUND($B124/$B$2*D$35*0.5,0)</f>
        <v>5</v>
      </c>
      <c r="E54" s="472">
        <f>ROUND($B124/$B$2*E$35*0.5,0)</f>
        <v>5</v>
      </c>
      <c r="F54" s="472">
        <f>ROUND($B124/$B$2*F$35*0.6,0)</f>
        <v>7</v>
      </c>
      <c r="G54" s="472">
        <f>ROUND($B124/$B$2*G$35*0.6,0)</f>
        <v>7</v>
      </c>
      <c r="H54" s="472">
        <f>ROUND($B124/$B$2*H$35*0.9,0)</f>
        <v>10</v>
      </c>
      <c r="I54" s="472">
        <f>ROUND($B124/$B$2*I$35*0.9,0)</f>
        <v>10</v>
      </c>
      <c r="J54" s="472">
        <f>ROUND($B124/$B$2*J$35*0.9,0)</f>
        <v>10</v>
      </c>
      <c r="K54" s="472">
        <f>ROUND($B124/$B$2*K$35*0.8,0)</f>
        <v>10</v>
      </c>
      <c r="L54" s="472">
        <f>ROUND($B124/$B$2*L$35*0.8,0)</f>
        <v>10</v>
      </c>
      <c r="M54" s="472">
        <f>ROUND($B124/$B$2*M$35*0.8,0)</f>
        <v>10</v>
      </c>
      <c r="N54" s="472">
        <f t="shared" ref="N54:Y54" si="41">ROUND($B124/$B$2*N$35,0)</f>
        <v>14</v>
      </c>
      <c r="O54" s="472">
        <f t="shared" si="41"/>
        <v>14</v>
      </c>
      <c r="P54" s="472">
        <f t="shared" si="41"/>
        <v>14</v>
      </c>
      <c r="Q54" s="472">
        <f t="shared" si="41"/>
        <v>14</v>
      </c>
      <c r="R54" s="472">
        <f t="shared" si="41"/>
        <v>14</v>
      </c>
      <c r="S54" s="472">
        <f t="shared" si="41"/>
        <v>14</v>
      </c>
      <c r="T54" s="472">
        <f t="shared" si="41"/>
        <v>14</v>
      </c>
      <c r="U54" s="472">
        <f t="shared" si="41"/>
        <v>14</v>
      </c>
      <c r="V54" s="472">
        <f t="shared" si="41"/>
        <v>14</v>
      </c>
      <c r="W54" s="472">
        <f t="shared" si="41"/>
        <v>14</v>
      </c>
      <c r="X54" s="472">
        <f t="shared" si="41"/>
        <v>14</v>
      </c>
      <c r="Y54" s="473">
        <f t="shared" si="41"/>
        <v>14</v>
      </c>
      <c r="Z54" s="472">
        <v>5</v>
      </c>
      <c r="AA54" s="90">
        <v>39</v>
      </c>
      <c r="AF54" s="87"/>
    </row>
    <row r="55" spans="1:36" s="11" customFormat="1" ht="12" x14ac:dyDescent="0.2">
      <c r="A55" s="471" t="s">
        <v>186</v>
      </c>
      <c r="B55" s="472">
        <f>ROUND($B125/$B$2*B$35*0.6,0)</f>
        <v>4</v>
      </c>
      <c r="C55" s="472">
        <f>ROUND($B125/$B$2*C$35*0.6,0)</f>
        <v>4</v>
      </c>
      <c r="D55" s="472">
        <f>ROUND($B125/$B$2*D$35*0.6,0)</f>
        <v>4</v>
      </c>
      <c r="E55" s="472">
        <f>ROUND($B125/$B$2*E$35*0.6,0)</f>
        <v>4</v>
      </c>
      <c r="F55" s="472">
        <f>ROUND($B125/$B$2*F$35*0.7,0)</f>
        <v>6</v>
      </c>
      <c r="G55" s="472">
        <f>ROUND($B125/$B$2*G$35*0.7,0)</f>
        <v>6</v>
      </c>
      <c r="H55" s="472">
        <f>ROUND($B125/$B$2*H$35,0)</f>
        <v>8</v>
      </c>
      <c r="I55" s="472">
        <f>ROUND($B125/$B$2*I$35,0)</f>
        <v>8</v>
      </c>
      <c r="J55" s="472">
        <f>ROUND($B125/$B$2*J$35,0)</f>
        <v>8</v>
      </c>
      <c r="K55" s="472">
        <f>ROUND($B125/$B$2*K$35,0)-1</f>
        <v>8</v>
      </c>
      <c r="L55" s="472">
        <f>ROUND($B125/$B$2*L$35,0)-1</f>
        <v>8</v>
      </c>
      <c r="M55" s="472">
        <f>ROUND($B125/$B$2*M$35,0)-1</f>
        <v>8</v>
      </c>
      <c r="N55" s="472">
        <f t="shared" ref="N55:Y55" si="42">ROUND($B125/$B$2*N$35,0)</f>
        <v>10</v>
      </c>
      <c r="O55" s="472">
        <f t="shared" si="42"/>
        <v>10</v>
      </c>
      <c r="P55" s="472">
        <f t="shared" si="42"/>
        <v>10</v>
      </c>
      <c r="Q55" s="472">
        <f t="shared" si="42"/>
        <v>10</v>
      </c>
      <c r="R55" s="472">
        <f t="shared" si="42"/>
        <v>10</v>
      </c>
      <c r="S55" s="472">
        <f t="shared" si="42"/>
        <v>10</v>
      </c>
      <c r="T55" s="472">
        <f t="shared" si="42"/>
        <v>10</v>
      </c>
      <c r="U55" s="472">
        <f t="shared" si="42"/>
        <v>10</v>
      </c>
      <c r="V55" s="472">
        <f t="shared" si="42"/>
        <v>10</v>
      </c>
      <c r="W55" s="472">
        <f t="shared" si="42"/>
        <v>10</v>
      </c>
      <c r="X55" s="472">
        <f t="shared" si="42"/>
        <v>10</v>
      </c>
      <c r="Y55" s="473">
        <f t="shared" si="42"/>
        <v>10</v>
      </c>
      <c r="Z55" s="472">
        <v>4</v>
      </c>
      <c r="AA55" s="92">
        <v>40</v>
      </c>
      <c r="AF55" s="87"/>
    </row>
    <row r="56" spans="1:36" s="11" customFormat="1" ht="12" x14ac:dyDescent="0.2">
      <c r="A56" s="465" t="s">
        <v>187</v>
      </c>
      <c r="B56" s="474">
        <v>0</v>
      </c>
      <c r="C56" s="474">
        <v>0</v>
      </c>
      <c r="D56" s="474">
        <v>0</v>
      </c>
      <c r="E56" s="474">
        <v>0</v>
      </c>
      <c r="F56" s="474">
        <f>ROUND($B126/$B$2*F$35*0.3,0)</f>
        <v>2</v>
      </c>
      <c r="G56" s="474">
        <f>ROUND($B126/$B$2*G$35*0.3,0)</f>
        <v>2</v>
      </c>
      <c r="H56" s="474">
        <f t="shared" ref="H56:M56" si="43">ROUND($B126/$B$2*H$35*0.6,0)</f>
        <v>4</v>
      </c>
      <c r="I56" s="474">
        <f t="shared" si="43"/>
        <v>4</v>
      </c>
      <c r="J56" s="474">
        <f t="shared" si="43"/>
        <v>4</v>
      </c>
      <c r="K56" s="474">
        <f t="shared" si="43"/>
        <v>4</v>
      </c>
      <c r="L56" s="474">
        <f t="shared" si="43"/>
        <v>4</v>
      </c>
      <c r="M56" s="474">
        <f t="shared" si="43"/>
        <v>4</v>
      </c>
      <c r="N56" s="474">
        <f t="shared" ref="N56:Y56" si="44">ROUND($B126/$B$2*N$35,0)</f>
        <v>8</v>
      </c>
      <c r="O56" s="474">
        <f t="shared" si="44"/>
        <v>8</v>
      </c>
      <c r="P56" s="474">
        <f t="shared" si="44"/>
        <v>8</v>
      </c>
      <c r="Q56" s="474">
        <f t="shared" si="44"/>
        <v>8</v>
      </c>
      <c r="R56" s="474">
        <f t="shared" si="44"/>
        <v>8</v>
      </c>
      <c r="S56" s="474">
        <f t="shared" si="44"/>
        <v>8</v>
      </c>
      <c r="T56" s="474">
        <f t="shared" si="44"/>
        <v>8</v>
      </c>
      <c r="U56" s="474">
        <f t="shared" si="44"/>
        <v>8</v>
      </c>
      <c r="V56" s="474">
        <f t="shared" si="44"/>
        <v>8</v>
      </c>
      <c r="W56" s="474">
        <f t="shared" si="44"/>
        <v>8</v>
      </c>
      <c r="X56" s="474">
        <f t="shared" si="44"/>
        <v>8</v>
      </c>
      <c r="Y56" s="475">
        <f t="shared" si="44"/>
        <v>8</v>
      </c>
      <c r="Z56" s="474">
        <v>0</v>
      </c>
      <c r="AA56" s="90">
        <v>41</v>
      </c>
      <c r="AE56" s="95"/>
      <c r="AF56" s="87"/>
    </row>
    <row r="57" spans="1:36" s="11" customFormat="1" ht="12" x14ac:dyDescent="0.2">
      <c r="A57" s="465" t="s">
        <v>188</v>
      </c>
      <c r="B57" s="474">
        <v>0</v>
      </c>
      <c r="C57" s="474">
        <v>0</v>
      </c>
      <c r="D57" s="474">
        <v>0</v>
      </c>
      <c r="E57" s="474">
        <v>0</v>
      </c>
      <c r="F57" s="474">
        <f>ROUND($B127/$B$2*F$35*0.4,0)</f>
        <v>1</v>
      </c>
      <c r="G57" s="474">
        <f>ROUND($B127/$B$2*G$35*0.4,0)</f>
        <v>1</v>
      </c>
      <c r="H57" s="474">
        <f t="shared" ref="H57:J58" si="45">ROUND($B127/$B$2*H$35*0.7,0)</f>
        <v>2</v>
      </c>
      <c r="I57" s="474">
        <f t="shared" si="45"/>
        <v>2</v>
      </c>
      <c r="J57" s="474">
        <f t="shared" si="45"/>
        <v>2</v>
      </c>
      <c r="K57" s="474">
        <f t="shared" ref="K57:M59" si="46">ROUND($B127/$B$2*K$35*0.6,0)</f>
        <v>2</v>
      </c>
      <c r="L57" s="474">
        <f t="shared" si="46"/>
        <v>2</v>
      </c>
      <c r="M57" s="474">
        <f t="shared" si="46"/>
        <v>2</v>
      </c>
      <c r="N57" s="474">
        <f t="shared" ref="N57:Y57" si="47">ROUND($B127/$B$2*N$35,0)</f>
        <v>4</v>
      </c>
      <c r="O57" s="474">
        <f t="shared" si="47"/>
        <v>4</v>
      </c>
      <c r="P57" s="474">
        <f t="shared" si="47"/>
        <v>4</v>
      </c>
      <c r="Q57" s="474">
        <f t="shared" si="47"/>
        <v>4</v>
      </c>
      <c r="R57" s="474">
        <f t="shared" si="47"/>
        <v>4</v>
      </c>
      <c r="S57" s="474">
        <f t="shared" si="47"/>
        <v>4</v>
      </c>
      <c r="T57" s="474">
        <f t="shared" si="47"/>
        <v>4</v>
      </c>
      <c r="U57" s="474">
        <f t="shared" si="47"/>
        <v>4</v>
      </c>
      <c r="V57" s="474">
        <f t="shared" si="47"/>
        <v>4</v>
      </c>
      <c r="W57" s="474">
        <f t="shared" si="47"/>
        <v>4</v>
      </c>
      <c r="X57" s="474">
        <f t="shared" si="47"/>
        <v>4</v>
      </c>
      <c r="Y57" s="475">
        <f t="shared" si="47"/>
        <v>4</v>
      </c>
      <c r="Z57" s="474">
        <v>0</v>
      </c>
      <c r="AA57" s="92">
        <v>42</v>
      </c>
      <c r="AB57" s="109"/>
      <c r="AC57" s="116"/>
      <c r="AD57" s="95"/>
      <c r="AE57" s="87"/>
      <c r="AF57" s="87"/>
    </row>
    <row r="58" spans="1:36" s="11" customFormat="1" x14ac:dyDescent="0.2">
      <c r="A58" s="471" t="s">
        <v>189</v>
      </c>
      <c r="B58" s="472">
        <v>0</v>
      </c>
      <c r="C58" s="472">
        <v>0</v>
      </c>
      <c r="D58" s="472">
        <v>0</v>
      </c>
      <c r="E58" s="472">
        <v>0</v>
      </c>
      <c r="F58" s="472">
        <f>ROUND($B128/$B$2*F$35*0.3,0)</f>
        <v>3</v>
      </c>
      <c r="G58" s="472">
        <f>ROUND($B128/$B$2*G$35*0.3,0)</f>
        <v>3</v>
      </c>
      <c r="H58" s="472">
        <f t="shared" si="45"/>
        <v>6</v>
      </c>
      <c r="I58" s="472">
        <f t="shared" si="45"/>
        <v>6</v>
      </c>
      <c r="J58" s="472">
        <f t="shared" si="45"/>
        <v>6</v>
      </c>
      <c r="K58" s="472">
        <f t="shared" si="46"/>
        <v>6</v>
      </c>
      <c r="L58" s="472">
        <f t="shared" si="46"/>
        <v>6</v>
      </c>
      <c r="M58" s="472">
        <f t="shared" si="46"/>
        <v>6</v>
      </c>
      <c r="N58" s="472">
        <f t="shared" ref="N58:Y58" si="48">ROUND($B128/$B$2*N$35,0)</f>
        <v>11</v>
      </c>
      <c r="O58" s="472">
        <f t="shared" si="48"/>
        <v>11</v>
      </c>
      <c r="P58" s="472">
        <f t="shared" si="48"/>
        <v>11</v>
      </c>
      <c r="Q58" s="472">
        <f t="shared" si="48"/>
        <v>11</v>
      </c>
      <c r="R58" s="472">
        <f t="shared" si="48"/>
        <v>11</v>
      </c>
      <c r="S58" s="472">
        <f t="shared" si="48"/>
        <v>11</v>
      </c>
      <c r="T58" s="472">
        <f t="shared" si="48"/>
        <v>11</v>
      </c>
      <c r="U58" s="472">
        <f t="shared" si="48"/>
        <v>11</v>
      </c>
      <c r="V58" s="472">
        <f t="shared" si="48"/>
        <v>11</v>
      </c>
      <c r="W58" s="472">
        <f t="shared" si="48"/>
        <v>11</v>
      </c>
      <c r="X58" s="472">
        <f t="shared" si="48"/>
        <v>11</v>
      </c>
      <c r="Y58" s="473">
        <f t="shared" si="48"/>
        <v>11</v>
      </c>
      <c r="Z58" s="472">
        <v>0</v>
      </c>
      <c r="AA58" s="90">
        <v>43</v>
      </c>
      <c r="AB58" s="87"/>
      <c r="AC58" s="87"/>
      <c r="AD58" s="87"/>
      <c r="AE58" s="95"/>
      <c r="AF58" s="72"/>
    </row>
    <row r="59" spans="1:36" s="11" customFormat="1" x14ac:dyDescent="0.2">
      <c r="A59" s="471" t="s">
        <v>190</v>
      </c>
      <c r="B59" s="472">
        <v>0</v>
      </c>
      <c r="C59" s="472">
        <v>0</v>
      </c>
      <c r="D59" s="472">
        <v>0</v>
      </c>
      <c r="E59" s="472">
        <v>0</v>
      </c>
      <c r="F59" s="472">
        <f>ROUND($B129/$B$2*F$35*0.4,0)</f>
        <v>2</v>
      </c>
      <c r="G59" s="472">
        <f>ROUND($B129/$B$2*G$35*0.4,0)</f>
        <v>2</v>
      </c>
      <c r="H59" s="472">
        <f>ROUND($B129/$B$2*H$35*0.75,0)</f>
        <v>4</v>
      </c>
      <c r="I59" s="472">
        <f>ROUND($B129/$B$2*I$35*0.75,0)</f>
        <v>4</v>
      </c>
      <c r="J59" s="472">
        <f>ROUND($B129/$B$2*J$35*0.75,0)</f>
        <v>4</v>
      </c>
      <c r="K59" s="472">
        <f t="shared" si="46"/>
        <v>4</v>
      </c>
      <c r="L59" s="472">
        <f t="shared" si="46"/>
        <v>4</v>
      </c>
      <c r="M59" s="472">
        <f t="shared" si="46"/>
        <v>4</v>
      </c>
      <c r="N59" s="472">
        <f t="shared" ref="N59:Y59" si="49">ROUND($B129/$B$2*N$35,0)</f>
        <v>7</v>
      </c>
      <c r="O59" s="472">
        <f t="shared" si="49"/>
        <v>7</v>
      </c>
      <c r="P59" s="472">
        <f t="shared" si="49"/>
        <v>7</v>
      </c>
      <c r="Q59" s="472">
        <f t="shared" si="49"/>
        <v>7</v>
      </c>
      <c r="R59" s="472">
        <f t="shared" si="49"/>
        <v>7</v>
      </c>
      <c r="S59" s="472">
        <f t="shared" si="49"/>
        <v>7</v>
      </c>
      <c r="T59" s="472">
        <f t="shared" si="49"/>
        <v>7</v>
      </c>
      <c r="U59" s="472">
        <f t="shared" si="49"/>
        <v>7</v>
      </c>
      <c r="V59" s="472">
        <f t="shared" si="49"/>
        <v>7</v>
      </c>
      <c r="W59" s="472">
        <f t="shared" si="49"/>
        <v>7</v>
      </c>
      <c r="X59" s="472">
        <f t="shared" si="49"/>
        <v>7</v>
      </c>
      <c r="Y59" s="473">
        <f t="shared" si="49"/>
        <v>7</v>
      </c>
      <c r="Z59" s="472">
        <v>0</v>
      </c>
      <c r="AA59" s="92">
        <v>44</v>
      </c>
      <c r="AB59" s="43"/>
      <c r="AC59" s="110"/>
      <c r="AD59" s="95"/>
      <c r="AE59" s="95"/>
      <c r="AF59" s="72"/>
    </row>
    <row r="60" spans="1:36" s="11" customFormat="1" x14ac:dyDescent="0.2">
      <c r="A60" s="465" t="s">
        <v>191</v>
      </c>
      <c r="B60" s="474">
        <f t="shared" ref="B60:E61" si="50">ROUND($B130/$B$2*B$35*0.4,0)</f>
        <v>5</v>
      </c>
      <c r="C60" s="474">
        <f t="shared" si="50"/>
        <v>5</v>
      </c>
      <c r="D60" s="474">
        <f t="shared" si="50"/>
        <v>5</v>
      </c>
      <c r="E60" s="474">
        <f t="shared" si="50"/>
        <v>5</v>
      </c>
      <c r="F60" s="474">
        <f>ROUND($B130/$B$2*F$35*0.6,0)</f>
        <v>9</v>
      </c>
      <c r="G60" s="474">
        <f>ROUND($B130/$B$2*G$35*0.6,0)</f>
        <v>9</v>
      </c>
      <c r="H60" s="474">
        <f>ROUND($B130/$B$2*H$35*0.9,0)</f>
        <v>13</v>
      </c>
      <c r="I60" s="474">
        <f>ROUND($B130/$B$2*I$35*0.9,0)</f>
        <v>13</v>
      </c>
      <c r="J60" s="474">
        <f>ROUND($B130/$B$2*J$35*0.9,0)</f>
        <v>13</v>
      </c>
      <c r="K60" s="474">
        <f>ROUND($B130/$B$2*K$35*0.8,0)</f>
        <v>13</v>
      </c>
      <c r="L60" s="474">
        <f>ROUND($B130/$B$2*L$35*0.8,0)</f>
        <v>13</v>
      </c>
      <c r="M60" s="474">
        <f>ROUND($B130/$B$2*M$35*0.8,0)</f>
        <v>13</v>
      </c>
      <c r="N60" s="474">
        <f t="shared" ref="N60:Y60" si="51">ROUND($B130/$B$2*N$35,0)</f>
        <v>18</v>
      </c>
      <c r="O60" s="474">
        <f t="shared" si="51"/>
        <v>18</v>
      </c>
      <c r="P60" s="474">
        <f t="shared" si="51"/>
        <v>18</v>
      </c>
      <c r="Q60" s="474">
        <f t="shared" si="51"/>
        <v>18</v>
      </c>
      <c r="R60" s="474">
        <f t="shared" si="51"/>
        <v>18</v>
      </c>
      <c r="S60" s="474">
        <f t="shared" si="51"/>
        <v>18</v>
      </c>
      <c r="T60" s="474">
        <f t="shared" si="51"/>
        <v>18</v>
      </c>
      <c r="U60" s="474">
        <f t="shared" si="51"/>
        <v>18</v>
      </c>
      <c r="V60" s="474">
        <f t="shared" si="51"/>
        <v>18</v>
      </c>
      <c r="W60" s="474">
        <f t="shared" si="51"/>
        <v>18</v>
      </c>
      <c r="X60" s="474">
        <f t="shared" si="51"/>
        <v>18</v>
      </c>
      <c r="Y60" s="475">
        <f t="shared" si="51"/>
        <v>18</v>
      </c>
      <c r="Z60" s="474">
        <v>5</v>
      </c>
      <c r="AA60" s="90">
        <v>45</v>
      </c>
      <c r="AB60" s="87"/>
      <c r="AC60" s="110"/>
      <c r="AD60" s="95"/>
      <c r="AE60" s="87"/>
      <c r="AF60" s="72"/>
    </row>
    <row r="61" spans="1:36" s="11" customFormat="1" x14ac:dyDescent="0.2">
      <c r="A61" s="465" t="s">
        <v>192</v>
      </c>
      <c r="B61" s="474">
        <f t="shared" si="50"/>
        <v>4</v>
      </c>
      <c r="C61" s="474">
        <f t="shared" si="50"/>
        <v>4</v>
      </c>
      <c r="D61" s="474">
        <f t="shared" si="50"/>
        <v>4</v>
      </c>
      <c r="E61" s="474">
        <f t="shared" si="50"/>
        <v>4</v>
      </c>
      <c r="F61" s="474">
        <f>ROUND($B131/$B$2*F$35*0.7,0)</f>
        <v>8</v>
      </c>
      <c r="G61" s="474">
        <f>ROUND($B131/$B$2*G$35*0.7,0)</f>
        <v>8</v>
      </c>
      <c r="H61" s="474">
        <f>ROUND($B131/$B$2*H$35,0)</f>
        <v>11</v>
      </c>
      <c r="I61" s="474">
        <f>ROUND($B131/$B$2*I$35,0)</f>
        <v>11</v>
      </c>
      <c r="J61" s="474">
        <f>ROUND($B131/$B$2*J$35,0)</f>
        <v>11</v>
      </c>
      <c r="K61" s="474">
        <f>ROUND($B131/$B$2*K$35*0.9,0)</f>
        <v>11</v>
      </c>
      <c r="L61" s="474">
        <f>ROUND($B131/$B$2*L$35*0.9,0)</f>
        <v>11</v>
      </c>
      <c r="M61" s="474">
        <f>ROUND($B131/$B$2*M$35*0.9,0)</f>
        <v>11</v>
      </c>
      <c r="N61" s="474">
        <f t="shared" ref="N61:Y61" si="52">ROUND($B131/$B$2*N$35,0)</f>
        <v>14</v>
      </c>
      <c r="O61" s="474">
        <f t="shared" si="52"/>
        <v>14</v>
      </c>
      <c r="P61" s="474">
        <f t="shared" si="52"/>
        <v>14</v>
      </c>
      <c r="Q61" s="474">
        <f t="shared" si="52"/>
        <v>14</v>
      </c>
      <c r="R61" s="474">
        <f t="shared" si="52"/>
        <v>14</v>
      </c>
      <c r="S61" s="474">
        <f t="shared" si="52"/>
        <v>14</v>
      </c>
      <c r="T61" s="474">
        <f t="shared" si="52"/>
        <v>14</v>
      </c>
      <c r="U61" s="474">
        <f t="shared" si="52"/>
        <v>14</v>
      </c>
      <c r="V61" s="474">
        <f t="shared" si="52"/>
        <v>14</v>
      </c>
      <c r="W61" s="474">
        <f t="shared" si="52"/>
        <v>14</v>
      </c>
      <c r="X61" s="474">
        <f t="shared" si="52"/>
        <v>14</v>
      </c>
      <c r="Y61" s="475">
        <f t="shared" si="52"/>
        <v>14</v>
      </c>
      <c r="Z61" s="474">
        <v>4</v>
      </c>
      <c r="AA61" s="92">
        <v>46</v>
      </c>
      <c r="AB61" s="107"/>
      <c r="AC61" s="109"/>
      <c r="AD61" s="95"/>
      <c r="AF61" s="72"/>
    </row>
    <row r="62" spans="1:36" s="11" customFormat="1" ht="12" x14ac:dyDescent="0.2">
      <c r="A62" s="471" t="s">
        <v>193</v>
      </c>
      <c r="B62" s="472">
        <f>ROUND($B132/$B$2*B$35*0.7,0)</f>
        <v>5</v>
      </c>
      <c r="C62" s="472">
        <f>ROUND($B132/$B$2*C$35*0.7,0)</f>
        <v>5</v>
      </c>
      <c r="D62" s="472">
        <f>ROUND($B132/$B$2*D$35*0.7,0)</f>
        <v>5</v>
      </c>
      <c r="E62" s="472">
        <f>ROUND($B132/$B$2*E$35*0.7,0)</f>
        <v>5</v>
      </c>
      <c r="F62" s="472">
        <f>ROUND($B132/$B$2*F$35*0.7,0)</f>
        <v>6</v>
      </c>
      <c r="G62" s="472">
        <f>ROUND($B132/$B$2*G$35*0.7,0)</f>
        <v>6</v>
      </c>
      <c r="H62" s="472">
        <f>ROUND($B132/$B$2*H$35*0.95,0)</f>
        <v>8</v>
      </c>
      <c r="I62" s="472">
        <f>ROUND($B132/$B$2*I$35*0.95,0)</f>
        <v>8</v>
      </c>
      <c r="J62" s="472">
        <f>ROUND($B132/$B$2*J$35*0.95,0)</f>
        <v>8</v>
      </c>
      <c r="K62" s="472">
        <f>ROUND($B132/$B$2*K$35*0.8,0)</f>
        <v>8</v>
      </c>
      <c r="L62" s="472">
        <f>ROUND($B132/$B$2*L$35*0.8,0)</f>
        <v>8</v>
      </c>
      <c r="M62" s="472">
        <f>ROUND($B132/$B$2*M$35*0.8,0)</f>
        <v>8</v>
      </c>
      <c r="N62" s="472">
        <f t="shared" ref="N62:Y62" si="53">ROUND($B132/$B$2*N$35,0)</f>
        <v>11</v>
      </c>
      <c r="O62" s="472">
        <f t="shared" si="53"/>
        <v>11</v>
      </c>
      <c r="P62" s="472">
        <f t="shared" si="53"/>
        <v>11</v>
      </c>
      <c r="Q62" s="472">
        <f t="shared" si="53"/>
        <v>11</v>
      </c>
      <c r="R62" s="472">
        <f t="shared" si="53"/>
        <v>11</v>
      </c>
      <c r="S62" s="472">
        <f t="shared" si="53"/>
        <v>11</v>
      </c>
      <c r="T62" s="472">
        <f t="shared" si="53"/>
        <v>11</v>
      </c>
      <c r="U62" s="472">
        <f t="shared" si="53"/>
        <v>11</v>
      </c>
      <c r="V62" s="472">
        <f t="shared" si="53"/>
        <v>11</v>
      </c>
      <c r="W62" s="472">
        <f t="shared" si="53"/>
        <v>11</v>
      </c>
      <c r="X62" s="472">
        <f t="shared" si="53"/>
        <v>11</v>
      </c>
      <c r="Y62" s="473">
        <f t="shared" si="53"/>
        <v>11</v>
      </c>
      <c r="Z62" s="472">
        <v>5</v>
      </c>
      <c r="AA62" s="90">
        <v>47</v>
      </c>
      <c r="AB62" s="109"/>
      <c r="AC62" s="20"/>
      <c r="AD62" s="20"/>
      <c r="AE62" s="7"/>
    </row>
    <row r="63" spans="1:36" s="11" customFormat="1" ht="12" x14ac:dyDescent="0.2">
      <c r="A63" s="471" t="s">
        <v>194</v>
      </c>
      <c r="B63" s="472">
        <f>ROUND($B133/$B$2*B$35*0.8,0)</f>
        <v>4</v>
      </c>
      <c r="C63" s="472">
        <f>ROUND($B133/$B$2*C$35*0.8,0)</f>
        <v>4</v>
      </c>
      <c r="D63" s="472">
        <f>ROUND($B133/$B$2*D$35*0.8,0)</f>
        <v>4</v>
      </c>
      <c r="E63" s="472">
        <f>ROUND($B133/$B$2*E$35*0.8,0)</f>
        <v>4</v>
      </c>
      <c r="F63" s="472">
        <f>ROUND($B133/$B$2*F$35*0.9,0)</f>
        <v>5</v>
      </c>
      <c r="G63" s="472">
        <f>ROUND($B133/$B$2*G$35*0.9,0)</f>
        <v>5</v>
      </c>
      <c r="H63" s="472">
        <f>ROUND($B133/$B$2*H$35,0)</f>
        <v>6</v>
      </c>
      <c r="I63" s="472">
        <f>ROUND($B133/$B$2*I$35,0)</f>
        <v>6</v>
      </c>
      <c r="J63" s="472">
        <f>ROUND($B133/$B$2*J$35,0)</f>
        <v>6</v>
      </c>
      <c r="K63" s="472">
        <f>ROUND($B133/$B$2*K$35*0.9,0)</f>
        <v>6</v>
      </c>
      <c r="L63" s="472">
        <f>ROUND($B133/$B$2*L$35*0.9,0)</f>
        <v>6</v>
      </c>
      <c r="M63" s="472">
        <f>ROUND($B133/$B$2*M$35*0.9,0)</f>
        <v>6</v>
      </c>
      <c r="N63" s="472">
        <f t="shared" ref="N63:Y63" si="54">ROUND($B133/$B$2*N$35,0)</f>
        <v>7</v>
      </c>
      <c r="O63" s="472">
        <f t="shared" si="54"/>
        <v>7</v>
      </c>
      <c r="P63" s="472">
        <f t="shared" si="54"/>
        <v>7</v>
      </c>
      <c r="Q63" s="472">
        <f t="shared" si="54"/>
        <v>7</v>
      </c>
      <c r="R63" s="472">
        <f t="shared" si="54"/>
        <v>7</v>
      </c>
      <c r="S63" s="472">
        <f t="shared" si="54"/>
        <v>7</v>
      </c>
      <c r="T63" s="472">
        <f t="shared" si="54"/>
        <v>7</v>
      </c>
      <c r="U63" s="472">
        <f t="shared" si="54"/>
        <v>7</v>
      </c>
      <c r="V63" s="472">
        <f t="shared" si="54"/>
        <v>7</v>
      </c>
      <c r="W63" s="472">
        <f t="shared" si="54"/>
        <v>7</v>
      </c>
      <c r="X63" s="472">
        <f t="shared" si="54"/>
        <v>7</v>
      </c>
      <c r="Y63" s="473">
        <f t="shared" si="54"/>
        <v>7</v>
      </c>
      <c r="Z63" s="472">
        <v>4</v>
      </c>
      <c r="AA63" s="92">
        <v>48</v>
      </c>
      <c r="AB63" s="109"/>
      <c r="AC63" s="20"/>
      <c r="AD63" s="20"/>
      <c r="AE63" s="7"/>
      <c r="AF63" s="7"/>
    </row>
    <row r="64" spans="1:36" s="11" customFormat="1" ht="12" x14ac:dyDescent="0.2">
      <c r="A64" s="465" t="s">
        <v>195</v>
      </c>
      <c r="B64" s="474">
        <f>ROUND($B134/$B$2*B$35*0.45,0)</f>
        <v>5</v>
      </c>
      <c r="C64" s="474">
        <f>ROUND($B134/$B$2*C$35*0.45,0)</f>
        <v>5</v>
      </c>
      <c r="D64" s="474">
        <f>ROUND($B134/$B$2*D$35*0.45,0)</f>
        <v>5</v>
      </c>
      <c r="E64" s="474">
        <f>ROUND($B134/$B$2*E$35*0.45,0)</f>
        <v>5</v>
      </c>
      <c r="F64" s="474">
        <f>ROUND($B134/$B$2*F$35*0.55,0)</f>
        <v>7</v>
      </c>
      <c r="G64" s="474">
        <f>ROUND($B134/$B$2*G$35*0.55,0)</f>
        <v>7</v>
      </c>
      <c r="H64" s="474">
        <f>ROUND($B134/$B$2*H$35*0.85,0)</f>
        <v>11</v>
      </c>
      <c r="I64" s="474">
        <f>ROUND($B134/$B$2*I$35*0.85,0)</f>
        <v>11</v>
      </c>
      <c r="J64" s="474">
        <f>ROUND($B134/$B$2*J$35*0.85,0)</f>
        <v>11</v>
      </c>
      <c r="K64" s="474">
        <f>ROUND($B134/$B$2*K$35*0.75,0)</f>
        <v>11</v>
      </c>
      <c r="L64" s="474">
        <f>ROUND($B134/$B$2*L$35*0.75,0)</f>
        <v>11</v>
      </c>
      <c r="M64" s="474">
        <f>ROUND($B134/$B$2*M$35*0.75,0)</f>
        <v>11</v>
      </c>
      <c r="N64" s="474">
        <f t="shared" ref="N64:Y64" si="55">ROUND($B134/$B$2*N$35,0)</f>
        <v>16</v>
      </c>
      <c r="O64" s="474">
        <f t="shared" si="55"/>
        <v>16</v>
      </c>
      <c r="P64" s="474">
        <f t="shared" si="55"/>
        <v>16</v>
      </c>
      <c r="Q64" s="474">
        <f t="shared" si="55"/>
        <v>16</v>
      </c>
      <c r="R64" s="474">
        <f t="shared" si="55"/>
        <v>16</v>
      </c>
      <c r="S64" s="474">
        <f t="shared" si="55"/>
        <v>16</v>
      </c>
      <c r="T64" s="474">
        <f t="shared" si="55"/>
        <v>16</v>
      </c>
      <c r="U64" s="474">
        <f t="shared" si="55"/>
        <v>16</v>
      </c>
      <c r="V64" s="474">
        <f t="shared" si="55"/>
        <v>16</v>
      </c>
      <c r="W64" s="474">
        <f t="shared" si="55"/>
        <v>16</v>
      </c>
      <c r="X64" s="474">
        <f t="shared" si="55"/>
        <v>16</v>
      </c>
      <c r="Y64" s="475">
        <f t="shared" si="55"/>
        <v>16</v>
      </c>
      <c r="Z64" s="474">
        <v>5</v>
      </c>
      <c r="AA64" s="90">
        <v>49</v>
      </c>
      <c r="AB64" s="107"/>
      <c r="AC64" s="7"/>
      <c r="AD64" s="7"/>
      <c r="AE64" s="7"/>
      <c r="AF64" s="7"/>
    </row>
    <row r="65" spans="1:46" s="11" customFormat="1" thickBot="1" x14ac:dyDescent="0.25">
      <c r="A65" s="476" t="s">
        <v>196</v>
      </c>
      <c r="B65" s="477">
        <f>ROUND($B135/$B$2*B$35*0.5,0)</f>
        <v>4</v>
      </c>
      <c r="C65" s="477">
        <f>ROUND($B135/$B$2*C$35*0.5,0)</f>
        <v>4</v>
      </c>
      <c r="D65" s="477">
        <f>ROUND($B135/$B$2*D$35*0.5,0)</f>
        <v>4</v>
      </c>
      <c r="E65" s="477">
        <f>ROUND($B135/$B$2*E$35*0.5,0)</f>
        <v>4</v>
      </c>
      <c r="F65" s="477">
        <f>ROUND($B135/$B$2*F$35*0.6,0)</f>
        <v>6</v>
      </c>
      <c r="G65" s="477">
        <f>ROUND($B135/$B$2*G$35*0.6,0)</f>
        <v>6</v>
      </c>
      <c r="H65" s="477">
        <f>ROUND($B135/$B$2*H$35*0.9,0)</f>
        <v>9</v>
      </c>
      <c r="I65" s="477">
        <f>ROUND($B135/$B$2*I$35*0.9,0)</f>
        <v>9</v>
      </c>
      <c r="J65" s="477">
        <f>ROUND($B135/$B$2*J$35*0.9,0)</f>
        <v>9</v>
      </c>
      <c r="K65" s="477">
        <f>ROUND($B135/$B$2*K$35*0.8,0)</f>
        <v>9</v>
      </c>
      <c r="L65" s="477">
        <f>ROUND($B135/$B$2*L$35*0.8,0)</f>
        <v>9</v>
      </c>
      <c r="M65" s="477">
        <f>ROUND($B135/$B$2*M$35*0.8,0)</f>
        <v>9</v>
      </c>
      <c r="N65" s="477">
        <f t="shared" ref="N65:Y65" si="56">ROUND($B135/$B$2*N$35,0)</f>
        <v>12</v>
      </c>
      <c r="O65" s="477">
        <f t="shared" si="56"/>
        <v>12</v>
      </c>
      <c r="P65" s="477">
        <f t="shared" si="56"/>
        <v>12</v>
      </c>
      <c r="Q65" s="477">
        <f t="shared" si="56"/>
        <v>12</v>
      </c>
      <c r="R65" s="477">
        <f t="shared" si="56"/>
        <v>12</v>
      </c>
      <c r="S65" s="477">
        <f t="shared" si="56"/>
        <v>12</v>
      </c>
      <c r="T65" s="477">
        <f t="shared" si="56"/>
        <v>12</v>
      </c>
      <c r="U65" s="477">
        <f t="shared" si="56"/>
        <v>12</v>
      </c>
      <c r="V65" s="477">
        <f t="shared" si="56"/>
        <v>12</v>
      </c>
      <c r="W65" s="477">
        <f t="shared" si="56"/>
        <v>12</v>
      </c>
      <c r="X65" s="477">
        <f t="shared" si="56"/>
        <v>12</v>
      </c>
      <c r="Y65" s="336">
        <f t="shared" si="56"/>
        <v>12</v>
      </c>
      <c r="Z65" s="474">
        <v>4</v>
      </c>
      <c r="AA65" s="92">
        <v>50</v>
      </c>
      <c r="AB65" s="107"/>
      <c r="AC65" s="7"/>
      <c r="AD65" s="7"/>
      <c r="AE65" s="7"/>
      <c r="AF65" s="7"/>
    </row>
    <row r="66" spans="1:46" s="11" customFormat="1" ht="12" x14ac:dyDescent="0.2">
      <c r="A66" s="38" t="s">
        <v>197</v>
      </c>
      <c r="B66" s="69">
        <f>IF(SUM(B54,B56,B58,B60,B62,B64)=0,B49*2,SUM(B54,B56,B58,B60,B62,B64))</f>
        <v>20</v>
      </c>
      <c r="C66" s="69">
        <f t="shared" ref="C66:Y67" si="57">IF(SUM(C54,C56,C58,C60,C62,C64)=0,C49*2,SUM(C54,C56,C58,C60,C62,C64))</f>
        <v>20</v>
      </c>
      <c r="D66" s="69">
        <f t="shared" si="57"/>
        <v>20</v>
      </c>
      <c r="E66" s="69">
        <f t="shared" si="57"/>
        <v>20</v>
      </c>
      <c r="F66" s="69">
        <f t="shared" si="57"/>
        <v>34</v>
      </c>
      <c r="G66" s="69">
        <f t="shared" si="57"/>
        <v>34</v>
      </c>
      <c r="H66" s="69">
        <f t="shared" si="57"/>
        <v>52</v>
      </c>
      <c r="I66" s="69">
        <f t="shared" si="57"/>
        <v>52</v>
      </c>
      <c r="J66" s="69">
        <f t="shared" si="57"/>
        <v>52</v>
      </c>
      <c r="K66" s="69">
        <f t="shared" si="57"/>
        <v>52</v>
      </c>
      <c r="L66" s="69">
        <f t="shared" si="57"/>
        <v>52</v>
      </c>
      <c r="M66" s="69">
        <f t="shared" si="57"/>
        <v>52</v>
      </c>
      <c r="N66" s="69">
        <f t="shared" si="57"/>
        <v>78</v>
      </c>
      <c r="O66" s="69">
        <f t="shared" si="57"/>
        <v>78</v>
      </c>
      <c r="P66" s="69">
        <f t="shared" si="57"/>
        <v>78</v>
      </c>
      <c r="Q66" s="69">
        <f t="shared" si="57"/>
        <v>78</v>
      </c>
      <c r="R66" s="69">
        <f t="shared" si="57"/>
        <v>78</v>
      </c>
      <c r="S66" s="69">
        <f t="shared" si="57"/>
        <v>78</v>
      </c>
      <c r="T66" s="69">
        <f t="shared" si="57"/>
        <v>78</v>
      </c>
      <c r="U66" s="69">
        <f t="shared" si="57"/>
        <v>78</v>
      </c>
      <c r="V66" s="69">
        <f t="shared" si="57"/>
        <v>78</v>
      </c>
      <c r="W66" s="69">
        <f t="shared" si="57"/>
        <v>78</v>
      </c>
      <c r="X66" s="69">
        <f t="shared" si="57"/>
        <v>78</v>
      </c>
      <c r="Y66" s="352">
        <f t="shared" si="57"/>
        <v>78</v>
      </c>
      <c r="Z66" s="467">
        <f>IF(SUM(Z54,Z56,Z58,Z60,Z62,Z64)=0,Z49*2,SUM(Z54,Z56,Z58,Z60,Z62,Z64))</f>
        <v>20</v>
      </c>
      <c r="AA66" s="90">
        <v>51</v>
      </c>
      <c r="AB66" s="20"/>
      <c r="AC66" s="7"/>
      <c r="AD66" s="7"/>
      <c r="AE66" s="7"/>
      <c r="AF66" s="7"/>
    </row>
    <row r="67" spans="1:46" s="11" customFormat="1" thickBot="1" x14ac:dyDescent="0.25">
      <c r="A67" s="476" t="s">
        <v>198</v>
      </c>
      <c r="B67" s="478">
        <f>IF(SUM(B55,B57,B59,B61,B63,B65)=0,B50*2,SUM(B55,B57,B59,B61,B63,B65))</f>
        <v>16</v>
      </c>
      <c r="C67" s="478">
        <f t="shared" si="57"/>
        <v>16</v>
      </c>
      <c r="D67" s="478">
        <f t="shared" si="57"/>
        <v>16</v>
      </c>
      <c r="E67" s="478">
        <f t="shared" si="57"/>
        <v>16</v>
      </c>
      <c r="F67" s="478">
        <f t="shared" si="57"/>
        <v>28</v>
      </c>
      <c r="G67" s="478">
        <f t="shared" si="57"/>
        <v>28</v>
      </c>
      <c r="H67" s="478">
        <f t="shared" si="57"/>
        <v>40</v>
      </c>
      <c r="I67" s="478">
        <f t="shared" si="57"/>
        <v>40</v>
      </c>
      <c r="J67" s="478">
        <f t="shared" si="57"/>
        <v>40</v>
      </c>
      <c r="K67" s="478">
        <f t="shared" si="57"/>
        <v>40</v>
      </c>
      <c r="L67" s="478">
        <f t="shared" si="57"/>
        <v>40</v>
      </c>
      <c r="M67" s="478">
        <f t="shared" si="57"/>
        <v>40</v>
      </c>
      <c r="N67" s="478">
        <f t="shared" si="57"/>
        <v>54</v>
      </c>
      <c r="O67" s="478">
        <f t="shared" si="57"/>
        <v>54</v>
      </c>
      <c r="P67" s="478">
        <f t="shared" si="57"/>
        <v>54</v>
      </c>
      <c r="Q67" s="478">
        <f t="shared" si="57"/>
        <v>54</v>
      </c>
      <c r="R67" s="478">
        <f t="shared" si="57"/>
        <v>54</v>
      </c>
      <c r="S67" s="478">
        <f t="shared" si="57"/>
        <v>54</v>
      </c>
      <c r="T67" s="478">
        <f t="shared" si="57"/>
        <v>54</v>
      </c>
      <c r="U67" s="478">
        <f t="shared" si="57"/>
        <v>54</v>
      </c>
      <c r="V67" s="478">
        <f t="shared" si="57"/>
        <v>54</v>
      </c>
      <c r="W67" s="478">
        <f t="shared" si="57"/>
        <v>54</v>
      </c>
      <c r="X67" s="478">
        <f t="shared" si="57"/>
        <v>54</v>
      </c>
      <c r="Y67" s="338">
        <f t="shared" si="57"/>
        <v>54</v>
      </c>
      <c r="Z67" s="467">
        <f>IF(SUM(Z55,Z57,Z59,Z61,Z63,Z65)=0,Z50*2,SUM(Z55,Z57,Z59,Z61,Z63,Z65))</f>
        <v>16</v>
      </c>
      <c r="AA67" s="92">
        <v>52</v>
      </c>
      <c r="AB67" s="20"/>
      <c r="AC67" s="7"/>
      <c r="AD67" s="7"/>
      <c r="AE67" s="18"/>
      <c r="AF67" s="7"/>
    </row>
    <row r="68" spans="1:46" s="11" customFormat="1" x14ac:dyDescent="0.2">
      <c r="A68" s="439" t="s">
        <v>199</v>
      </c>
      <c r="B68" s="62"/>
      <c r="C68" s="63"/>
      <c r="D68" s="63"/>
      <c r="E68" s="63"/>
      <c r="F68" s="63"/>
      <c r="G68" s="63"/>
      <c r="H68" s="63"/>
      <c r="I68" s="63"/>
      <c r="J68" s="63"/>
      <c r="K68" s="63"/>
      <c r="L68" s="63"/>
      <c r="M68" s="63"/>
      <c r="N68" s="63"/>
      <c r="O68" s="63"/>
      <c r="P68" s="63"/>
      <c r="Q68" s="63"/>
      <c r="R68" s="63"/>
      <c r="S68" s="63"/>
      <c r="T68" s="63"/>
      <c r="U68" s="63"/>
      <c r="V68" s="63"/>
      <c r="W68" s="63"/>
      <c r="X68" s="63"/>
      <c r="Y68" s="63"/>
      <c r="Z68" s="559"/>
      <c r="AA68" s="90">
        <v>53</v>
      </c>
      <c r="AB68" s="7"/>
      <c r="AC68" s="18"/>
      <c r="AD68" s="18"/>
      <c r="AE68" s="18"/>
      <c r="AF68" s="18"/>
    </row>
    <row r="69" spans="1:46" s="11" customFormat="1" ht="12" x14ac:dyDescent="0.2">
      <c r="A69" s="421" t="str">
        <f t="shared" ref="A69:A80" si="58">A105</f>
        <v>Pilot Upper Limit</v>
      </c>
      <c r="B69" s="17">
        <f t="shared" ref="B69:Z69" si="59">$B$105</f>
        <v>13</v>
      </c>
      <c r="C69" s="17">
        <f t="shared" si="59"/>
        <v>13</v>
      </c>
      <c r="D69" s="17">
        <f t="shared" si="59"/>
        <v>13</v>
      </c>
      <c r="E69" s="17">
        <f t="shared" si="59"/>
        <v>13</v>
      </c>
      <c r="F69" s="17">
        <f t="shared" si="59"/>
        <v>13</v>
      </c>
      <c r="G69" s="17">
        <f t="shared" si="59"/>
        <v>13</v>
      </c>
      <c r="H69" s="17">
        <f t="shared" si="59"/>
        <v>13</v>
      </c>
      <c r="I69" s="17">
        <f t="shared" si="59"/>
        <v>13</v>
      </c>
      <c r="J69" s="17">
        <f t="shared" si="59"/>
        <v>13</v>
      </c>
      <c r="K69" s="17">
        <f t="shared" si="59"/>
        <v>13</v>
      </c>
      <c r="L69" s="17">
        <f t="shared" si="59"/>
        <v>13</v>
      </c>
      <c r="M69" s="17">
        <f t="shared" si="59"/>
        <v>13</v>
      </c>
      <c r="N69" s="17">
        <f t="shared" si="59"/>
        <v>13</v>
      </c>
      <c r="O69" s="17">
        <f t="shared" si="59"/>
        <v>13</v>
      </c>
      <c r="P69" s="17">
        <f t="shared" si="59"/>
        <v>13</v>
      </c>
      <c r="Q69" s="17">
        <f t="shared" si="59"/>
        <v>13</v>
      </c>
      <c r="R69" s="17">
        <f t="shared" si="59"/>
        <v>13</v>
      </c>
      <c r="S69" s="17">
        <f t="shared" si="59"/>
        <v>13</v>
      </c>
      <c r="T69" s="17">
        <f t="shared" si="59"/>
        <v>13</v>
      </c>
      <c r="U69" s="17">
        <f t="shared" si="59"/>
        <v>13</v>
      </c>
      <c r="V69" s="17">
        <f t="shared" si="59"/>
        <v>13</v>
      </c>
      <c r="W69" s="17">
        <f t="shared" si="59"/>
        <v>13</v>
      </c>
      <c r="X69" s="17">
        <f t="shared" si="59"/>
        <v>13</v>
      </c>
      <c r="Y69" s="330">
        <f t="shared" si="59"/>
        <v>13</v>
      </c>
      <c r="Z69" s="546">
        <f t="shared" si="59"/>
        <v>13</v>
      </c>
      <c r="AA69" s="92">
        <v>54</v>
      </c>
      <c r="AB69" s="7"/>
      <c r="AC69" s="18"/>
      <c r="AD69" s="18"/>
      <c r="AE69" s="18"/>
      <c r="AF69" s="18"/>
    </row>
    <row r="70" spans="1:46" s="11" customFormat="1" ht="12" x14ac:dyDescent="0.2">
      <c r="A70" s="427" t="str">
        <f t="shared" si="58"/>
        <v>Pilot Lower Limit</v>
      </c>
      <c r="B70" s="481">
        <v>3</v>
      </c>
      <c r="C70" s="481">
        <v>3</v>
      </c>
      <c r="D70" s="481">
        <f>IF(D$96&lt;60,4,5)</f>
        <v>4</v>
      </c>
      <c r="E70" s="481">
        <f t="shared" ref="E70:Z72" si="60">IF(E$96&lt;60,4,5)</f>
        <v>4</v>
      </c>
      <c r="F70" s="481">
        <f t="shared" si="60"/>
        <v>4</v>
      </c>
      <c r="G70" s="481">
        <f t="shared" si="60"/>
        <v>4</v>
      </c>
      <c r="H70" s="481">
        <f t="shared" si="60"/>
        <v>4</v>
      </c>
      <c r="I70" s="481">
        <f t="shared" si="60"/>
        <v>4</v>
      </c>
      <c r="J70" s="481">
        <f t="shared" si="60"/>
        <v>4</v>
      </c>
      <c r="K70" s="481">
        <f t="shared" si="60"/>
        <v>5</v>
      </c>
      <c r="L70" s="481">
        <f t="shared" si="60"/>
        <v>5</v>
      </c>
      <c r="M70" s="481">
        <f t="shared" si="60"/>
        <v>5</v>
      </c>
      <c r="N70" s="481">
        <f t="shared" si="60"/>
        <v>5</v>
      </c>
      <c r="O70" s="481">
        <f t="shared" si="60"/>
        <v>5</v>
      </c>
      <c r="P70" s="481">
        <f t="shared" si="60"/>
        <v>5</v>
      </c>
      <c r="Q70" s="481">
        <f t="shared" si="60"/>
        <v>5</v>
      </c>
      <c r="R70" s="481">
        <f t="shared" si="60"/>
        <v>5</v>
      </c>
      <c r="S70" s="481">
        <f t="shared" si="60"/>
        <v>5</v>
      </c>
      <c r="T70" s="481">
        <f t="shared" si="60"/>
        <v>5</v>
      </c>
      <c r="U70" s="481">
        <f t="shared" si="60"/>
        <v>5</v>
      </c>
      <c r="V70" s="481">
        <f t="shared" si="60"/>
        <v>5</v>
      </c>
      <c r="W70" s="481">
        <f t="shared" si="60"/>
        <v>5</v>
      </c>
      <c r="X70" s="481">
        <f t="shared" si="60"/>
        <v>5</v>
      </c>
      <c r="Y70" s="479">
        <f t="shared" si="60"/>
        <v>5</v>
      </c>
      <c r="Z70" s="481">
        <f t="shared" si="60"/>
        <v>4</v>
      </c>
      <c r="AA70" s="90">
        <v>55</v>
      </c>
      <c r="AB70" s="7"/>
      <c r="AC70" s="18"/>
      <c r="AD70" s="18"/>
      <c r="AE70" s="18"/>
      <c r="AF70" s="18"/>
    </row>
    <row r="71" spans="1:46" s="11" customFormat="1" ht="12" x14ac:dyDescent="0.2">
      <c r="A71" s="421" t="str">
        <f t="shared" si="58"/>
        <v>NFO Upper Limit</v>
      </c>
      <c r="B71" s="482">
        <f>B69</f>
        <v>13</v>
      </c>
      <c r="C71" s="482">
        <f t="shared" ref="C71:Z71" si="61">C69</f>
        <v>13</v>
      </c>
      <c r="D71" s="482">
        <f t="shared" si="61"/>
        <v>13</v>
      </c>
      <c r="E71" s="482">
        <f t="shared" si="61"/>
        <v>13</v>
      </c>
      <c r="F71" s="482">
        <f t="shared" si="61"/>
        <v>13</v>
      </c>
      <c r="G71" s="482">
        <f t="shared" si="61"/>
        <v>13</v>
      </c>
      <c r="H71" s="482">
        <f t="shared" si="61"/>
        <v>13</v>
      </c>
      <c r="I71" s="482">
        <f t="shared" si="61"/>
        <v>13</v>
      </c>
      <c r="J71" s="482">
        <f t="shared" si="61"/>
        <v>13</v>
      </c>
      <c r="K71" s="482">
        <f t="shared" si="61"/>
        <v>13</v>
      </c>
      <c r="L71" s="482">
        <f t="shared" si="61"/>
        <v>13</v>
      </c>
      <c r="M71" s="482">
        <f t="shared" si="61"/>
        <v>13</v>
      </c>
      <c r="N71" s="482">
        <f t="shared" si="61"/>
        <v>13</v>
      </c>
      <c r="O71" s="482">
        <f t="shared" si="61"/>
        <v>13</v>
      </c>
      <c r="P71" s="482">
        <f t="shared" si="61"/>
        <v>13</v>
      </c>
      <c r="Q71" s="482">
        <f t="shared" si="61"/>
        <v>13</v>
      </c>
      <c r="R71" s="482">
        <f t="shared" si="61"/>
        <v>13</v>
      </c>
      <c r="S71" s="482">
        <f t="shared" si="61"/>
        <v>13</v>
      </c>
      <c r="T71" s="482">
        <f t="shared" si="61"/>
        <v>13</v>
      </c>
      <c r="U71" s="482">
        <f t="shared" si="61"/>
        <v>13</v>
      </c>
      <c r="V71" s="482">
        <f t="shared" si="61"/>
        <v>13</v>
      </c>
      <c r="W71" s="482">
        <f t="shared" si="61"/>
        <v>13</v>
      </c>
      <c r="X71" s="482">
        <f t="shared" si="61"/>
        <v>13</v>
      </c>
      <c r="Y71" s="483">
        <f t="shared" si="61"/>
        <v>13</v>
      </c>
      <c r="Z71" s="482">
        <f t="shared" si="61"/>
        <v>13</v>
      </c>
      <c r="AA71" s="92">
        <v>56</v>
      </c>
      <c r="AB71" s="7"/>
      <c r="AC71" s="18"/>
      <c r="AD71" s="18"/>
      <c r="AE71" s="18"/>
      <c r="AF71" s="18"/>
    </row>
    <row r="72" spans="1:46" s="11" customFormat="1" ht="12" x14ac:dyDescent="0.2">
      <c r="A72" s="427" t="str">
        <f t="shared" si="58"/>
        <v>NFO Lower Limit</v>
      </c>
      <c r="B72" s="481">
        <v>3</v>
      </c>
      <c r="C72" s="481">
        <v>3</v>
      </c>
      <c r="D72" s="481">
        <f>IF(D$96&lt;60,4,5)</f>
        <v>4</v>
      </c>
      <c r="E72" s="481">
        <f t="shared" si="60"/>
        <v>4</v>
      </c>
      <c r="F72" s="481">
        <f t="shared" si="60"/>
        <v>4</v>
      </c>
      <c r="G72" s="481">
        <f t="shared" si="60"/>
        <v>4</v>
      </c>
      <c r="H72" s="481">
        <f t="shared" si="60"/>
        <v>4</v>
      </c>
      <c r="I72" s="481">
        <f t="shared" si="60"/>
        <v>4</v>
      </c>
      <c r="J72" s="481">
        <f t="shared" si="60"/>
        <v>4</v>
      </c>
      <c r="K72" s="481">
        <f t="shared" si="60"/>
        <v>5</v>
      </c>
      <c r="L72" s="481">
        <f t="shared" si="60"/>
        <v>5</v>
      </c>
      <c r="M72" s="481">
        <f t="shared" si="60"/>
        <v>5</v>
      </c>
      <c r="N72" s="481">
        <f t="shared" si="60"/>
        <v>5</v>
      </c>
      <c r="O72" s="481">
        <f t="shared" si="60"/>
        <v>5</v>
      </c>
      <c r="P72" s="481">
        <f t="shared" si="60"/>
        <v>5</v>
      </c>
      <c r="Q72" s="481">
        <f t="shared" si="60"/>
        <v>5</v>
      </c>
      <c r="R72" s="481">
        <f t="shared" si="60"/>
        <v>5</v>
      </c>
      <c r="S72" s="481">
        <f t="shared" si="60"/>
        <v>5</v>
      </c>
      <c r="T72" s="481">
        <f t="shared" si="60"/>
        <v>5</v>
      </c>
      <c r="U72" s="481">
        <f t="shared" si="60"/>
        <v>5</v>
      </c>
      <c r="V72" s="481">
        <f t="shared" si="60"/>
        <v>5</v>
      </c>
      <c r="W72" s="481">
        <f t="shared" si="60"/>
        <v>5</v>
      </c>
      <c r="X72" s="481">
        <f t="shared" si="60"/>
        <v>5</v>
      </c>
      <c r="Y72" s="479">
        <f t="shared" si="60"/>
        <v>5</v>
      </c>
      <c r="Z72" s="481">
        <f t="shared" si="60"/>
        <v>4</v>
      </c>
      <c r="AA72" s="90">
        <v>57</v>
      </c>
      <c r="AB72" s="18"/>
      <c r="AC72" s="18"/>
      <c r="AD72" s="18"/>
      <c r="AE72" s="7"/>
      <c r="AF72" s="18"/>
    </row>
    <row r="73" spans="1:46" s="11" customFormat="1" ht="12" x14ac:dyDescent="0.2">
      <c r="A73" s="427" t="str">
        <f t="shared" si="58"/>
        <v>ACTC Level 5</v>
      </c>
      <c r="B73" s="481" t="s">
        <v>200</v>
      </c>
      <c r="C73" s="481" t="s">
        <v>200</v>
      </c>
      <c r="D73" s="481" t="s">
        <v>200</v>
      </c>
      <c r="E73" s="481" t="s">
        <v>200</v>
      </c>
      <c r="F73" s="481" t="s">
        <v>200</v>
      </c>
      <c r="G73" s="481" t="s">
        <v>200</v>
      </c>
      <c r="H73" s="481" t="s">
        <v>200</v>
      </c>
      <c r="I73" s="481" t="s">
        <v>200</v>
      </c>
      <c r="J73" s="481" t="s">
        <v>200</v>
      </c>
      <c r="K73" s="481" t="s">
        <v>200</v>
      </c>
      <c r="L73" s="481" t="s">
        <v>200</v>
      </c>
      <c r="M73" s="481" t="s">
        <v>200</v>
      </c>
      <c r="N73" s="481" t="s">
        <v>200</v>
      </c>
      <c r="O73" s="481" t="s">
        <v>200</v>
      </c>
      <c r="P73" s="481" t="s">
        <v>200</v>
      </c>
      <c r="Q73" s="481" t="s">
        <v>200</v>
      </c>
      <c r="R73" s="481" t="s">
        <v>200</v>
      </c>
      <c r="S73" s="481" t="s">
        <v>200</v>
      </c>
      <c r="T73" s="481" t="s">
        <v>200</v>
      </c>
      <c r="U73" s="481" t="s">
        <v>200</v>
      </c>
      <c r="V73" s="481" t="s">
        <v>200</v>
      </c>
      <c r="W73" s="481" t="s">
        <v>200</v>
      </c>
      <c r="X73" s="481" t="s">
        <v>200</v>
      </c>
      <c r="Y73" s="479" t="s">
        <v>200</v>
      </c>
      <c r="Z73" s="481" t="s">
        <v>200</v>
      </c>
      <c r="AA73" s="92">
        <v>58</v>
      </c>
      <c r="AB73" s="18"/>
      <c r="AC73" s="7"/>
      <c r="AD73" s="7"/>
      <c r="AE73" s="7"/>
      <c r="AF73" s="7"/>
    </row>
    <row r="74" spans="1:46" s="11" customFormat="1" ht="12" x14ac:dyDescent="0.2">
      <c r="A74" s="427" t="str">
        <f t="shared" si="58"/>
        <v>&gt;= ACTC Level 4</v>
      </c>
      <c r="B74" s="481">
        <f t="shared" ref="B74:P74" si="62">ROUNDUP(IF(B$13="Deploy",MAX((B$99/100)*$B110,$B110),(B$99/100)*$B110),0)</f>
        <v>4</v>
      </c>
      <c r="C74" s="481">
        <f t="shared" si="62"/>
        <v>3</v>
      </c>
      <c r="D74" s="481">
        <f t="shared" si="62"/>
        <v>3</v>
      </c>
      <c r="E74" s="481">
        <f t="shared" si="62"/>
        <v>3</v>
      </c>
      <c r="F74" s="481">
        <f t="shared" si="62"/>
        <v>3</v>
      </c>
      <c r="G74" s="481">
        <f t="shared" si="62"/>
        <v>3</v>
      </c>
      <c r="H74" s="481">
        <f t="shared" si="62"/>
        <v>3</v>
      </c>
      <c r="I74" s="481">
        <f t="shared" si="62"/>
        <v>3</v>
      </c>
      <c r="J74" s="481">
        <f t="shared" si="62"/>
        <v>4</v>
      </c>
      <c r="K74" s="481">
        <f t="shared" si="62"/>
        <v>5</v>
      </c>
      <c r="L74" s="481">
        <f t="shared" si="62"/>
        <v>5</v>
      </c>
      <c r="M74" s="481">
        <f t="shared" si="62"/>
        <v>5</v>
      </c>
      <c r="N74" s="481">
        <f t="shared" si="62"/>
        <v>5</v>
      </c>
      <c r="O74" s="481">
        <f t="shared" si="62"/>
        <v>5</v>
      </c>
      <c r="P74" s="481">
        <f t="shared" si="62"/>
        <v>5</v>
      </c>
      <c r="Q74" s="481">
        <f t="shared" ref="Q74:R76" si="63">ROUNDUP(IF(X$13="Deploy",MAX((Q$99/100)*$B110,$B110),(Q$99/100)*$B110),0)</f>
        <v>5</v>
      </c>
      <c r="R74" s="481">
        <f t="shared" si="63"/>
        <v>5</v>
      </c>
      <c r="S74" s="481">
        <f>ROUNDUP(IF(W$13="Deploy",MAX((S$99/100)*$B110,$B110),(S$99/100)*$B110),0)</f>
        <v>5</v>
      </c>
      <c r="T74" s="481">
        <f t="shared" ref="T74:Y76" si="64">ROUNDUP(IF(Q$13="Deploy",MAX((T$99/100)*$B110,$B110),(T$99/100)*$B110),0)</f>
        <v>7</v>
      </c>
      <c r="U74" s="481">
        <f t="shared" si="64"/>
        <v>7</v>
      </c>
      <c r="V74" s="481">
        <f t="shared" si="64"/>
        <v>7</v>
      </c>
      <c r="W74" s="481">
        <f t="shared" si="64"/>
        <v>7</v>
      </c>
      <c r="X74" s="481">
        <f t="shared" si="64"/>
        <v>7</v>
      </c>
      <c r="Y74" s="479">
        <f t="shared" si="64"/>
        <v>7</v>
      </c>
      <c r="Z74" s="481">
        <f>ROUNDUP(IF(Z$13="Deploy",MAX((Z$99/100)*$B110,$B110),(Z$99/100)*$B110),0)</f>
        <v>3</v>
      </c>
      <c r="AA74" s="90">
        <v>59</v>
      </c>
      <c r="AB74" s="18"/>
      <c r="AC74" s="7"/>
      <c r="AD74" s="7"/>
      <c r="AE74" s="18"/>
      <c r="AF74" s="7"/>
    </row>
    <row r="75" spans="1:46" s="11" customFormat="1" ht="12" x14ac:dyDescent="0.2">
      <c r="A75" s="427" t="str">
        <f t="shared" si="58"/>
        <v>&gt;= ACTC Level 3</v>
      </c>
      <c r="B75" s="481">
        <f t="shared" ref="B75:P75" si="65">ROUNDUP(IF(B$13="Deploy",MAX((B$99/100)*$B111,$B111),(B$99/100)*$B111),0)</f>
        <v>7</v>
      </c>
      <c r="C75" s="481">
        <f t="shared" si="65"/>
        <v>5</v>
      </c>
      <c r="D75" s="481">
        <f t="shared" si="65"/>
        <v>5</v>
      </c>
      <c r="E75" s="481">
        <f t="shared" si="65"/>
        <v>5</v>
      </c>
      <c r="F75" s="481">
        <f t="shared" si="65"/>
        <v>5</v>
      </c>
      <c r="G75" s="481">
        <f t="shared" si="65"/>
        <v>6</v>
      </c>
      <c r="H75" s="481">
        <f t="shared" si="65"/>
        <v>6</v>
      </c>
      <c r="I75" s="481">
        <f t="shared" si="65"/>
        <v>6</v>
      </c>
      <c r="J75" s="481">
        <f t="shared" si="65"/>
        <v>6</v>
      </c>
      <c r="K75" s="481">
        <f t="shared" si="65"/>
        <v>8</v>
      </c>
      <c r="L75" s="481">
        <f t="shared" si="65"/>
        <v>9</v>
      </c>
      <c r="M75" s="481">
        <f t="shared" si="65"/>
        <v>9</v>
      </c>
      <c r="N75" s="481">
        <f t="shared" si="65"/>
        <v>9</v>
      </c>
      <c r="O75" s="481">
        <f t="shared" si="65"/>
        <v>10</v>
      </c>
      <c r="P75" s="481">
        <f t="shared" si="65"/>
        <v>10</v>
      </c>
      <c r="Q75" s="481">
        <f t="shared" si="63"/>
        <v>10</v>
      </c>
      <c r="R75" s="481">
        <f t="shared" si="63"/>
        <v>10</v>
      </c>
      <c r="S75" s="481">
        <f>ROUNDUP(IF(W$13="Deploy",MAX((S$99/100)*$B111,$B111),(S$99/100)*$B111),0)</f>
        <v>10</v>
      </c>
      <c r="T75" s="481">
        <f t="shared" si="64"/>
        <v>13</v>
      </c>
      <c r="U75" s="481">
        <f t="shared" si="64"/>
        <v>13</v>
      </c>
      <c r="V75" s="481">
        <f t="shared" si="64"/>
        <v>13</v>
      </c>
      <c r="W75" s="481">
        <f t="shared" si="64"/>
        <v>13</v>
      </c>
      <c r="X75" s="481">
        <f t="shared" si="64"/>
        <v>13</v>
      </c>
      <c r="Y75" s="479">
        <f t="shared" si="64"/>
        <v>13</v>
      </c>
      <c r="Z75" s="481">
        <f>ROUNDUP(IF(Z$13="Deploy",MAX((Z$99/100)*$B111,$B111),(Z$99/100)*$B111),0)</f>
        <v>5</v>
      </c>
      <c r="AA75" s="92">
        <v>60</v>
      </c>
      <c r="AB75" s="18"/>
      <c r="AC75" s="18"/>
      <c r="AD75" s="18"/>
      <c r="AE75" s="18"/>
      <c r="AF75" s="18"/>
    </row>
    <row r="76" spans="1:46" s="11" customFormat="1" ht="12" x14ac:dyDescent="0.2">
      <c r="A76" s="427" t="str">
        <f t="shared" si="58"/>
        <v>&gt;= ACTC Level 2</v>
      </c>
      <c r="B76" s="481">
        <f t="shared" ref="B76:P76" si="66">ROUNDUP(IF(B$13="Deploy",MAX((B$99/100)*$B112,$B112),(B$99/100)*$B112),0)</f>
        <v>11</v>
      </c>
      <c r="C76" s="481">
        <f t="shared" si="66"/>
        <v>7</v>
      </c>
      <c r="D76" s="481">
        <f t="shared" si="66"/>
        <v>7</v>
      </c>
      <c r="E76" s="481">
        <f t="shared" si="66"/>
        <v>7</v>
      </c>
      <c r="F76" s="481">
        <f t="shared" si="66"/>
        <v>7</v>
      </c>
      <c r="G76" s="481">
        <f t="shared" si="66"/>
        <v>9</v>
      </c>
      <c r="H76" s="481">
        <f t="shared" si="66"/>
        <v>9</v>
      </c>
      <c r="I76" s="481">
        <f t="shared" si="66"/>
        <v>9</v>
      </c>
      <c r="J76" s="481">
        <f t="shared" si="66"/>
        <v>9</v>
      </c>
      <c r="K76" s="481">
        <f t="shared" si="66"/>
        <v>12</v>
      </c>
      <c r="L76" s="481">
        <f t="shared" si="66"/>
        <v>13</v>
      </c>
      <c r="M76" s="481">
        <f t="shared" si="66"/>
        <v>14</v>
      </c>
      <c r="N76" s="481">
        <f t="shared" si="66"/>
        <v>14</v>
      </c>
      <c r="O76" s="481">
        <f t="shared" si="66"/>
        <v>14</v>
      </c>
      <c r="P76" s="481">
        <f t="shared" si="66"/>
        <v>14</v>
      </c>
      <c r="Q76" s="481">
        <f t="shared" si="63"/>
        <v>14</v>
      </c>
      <c r="R76" s="481">
        <f t="shared" si="63"/>
        <v>14</v>
      </c>
      <c r="S76" s="481">
        <f>ROUNDUP(IF(W$13="Deploy",MAX((S$99/100)*$B112,$B112),(S$99/100)*$B112),0)</f>
        <v>14</v>
      </c>
      <c r="T76" s="481">
        <f t="shared" si="64"/>
        <v>20</v>
      </c>
      <c r="U76" s="481">
        <f t="shared" si="64"/>
        <v>20</v>
      </c>
      <c r="V76" s="481">
        <f t="shared" si="64"/>
        <v>20</v>
      </c>
      <c r="W76" s="481">
        <f t="shared" si="64"/>
        <v>20</v>
      </c>
      <c r="X76" s="481">
        <f t="shared" si="64"/>
        <v>20</v>
      </c>
      <c r="Y76" s="479">
        <f t="shared" si="64"/>
        <v>20</v>
      </c>
      <c r="Z76" s="481">
        <f>ROUNDUP(IF(Z$13="Deploy",MAX((Z$99/100)*$B112,$B112),(Z$99/100)*$B112),0)</f>
        <v>8</v>
      </c>
      <c r="AA76" s="90">
        <v>61</v>
      </c>
      <c r="AB76" s="18"/>
      <c r="AC76" s="18"/>
      <c r="AD76" s="18"/>
      <c r="AE76" s="18"/>
      <c r="AF76" s="18"/>
    </row>
    <row r="77" spans="1:46" s="11" customFormat="1" ht="12" x14ac:dyDescent="0.2">
      <c r="A77" s="427" t="str">
        <f t="shared" si="58"/>
        <v>CVW STK Lead</v>
      </c>
      <c r="B77" s="481" t="str">
        <f t="shared" ref="B77:Z77" si="67">$B$113</f>
        <v>N/A</v>
      </c>
      <c r="C77" s="481" t="str">
        <f t="shared" si="67"/>
        <v>N/A</v>
      </c>
      <c r="D77" s="481" t="str">
        <f t="shared" si="67"/>
        <v>N/A</v>
      </c>
      <c r="E77" s="481" t="str">
        <f t="shared" si="67"/>
        <v>N/A</v>
      </c>
      <c r="F77" s="481" t="str">
        <f t="shared" si="67"/>
        <v>N/A</v>
      </c>
      <c r="G77" s="481" t="str">
        <f t="shared" si="67"/>
        <v>N/A</v>
      </c>
      <c r="H77" s="481" t="str">
        <f t="shared" si="67"/>
        <v>N/A</v>
      </c>
      <c r="I77" s="481" t="str">
        <f t="shared" si="67"/>
        <v>N/A</v>
      </c>
      <c r="J77" s="481" t="str">
        <f t="shared" si="67"/>
        <v>N/A</v>
      </c>
      <c r="K77" s="481" t="str">
        <f t="shared" si="67"/>
        <v>N/A</v>
      </c>
      <c r="L77" s="481" t="str">
        <f t="shared" si="67"/>
        <v>N/A</v>
      </c>
      <c r="M77" s="481" t="str">
        <f t="shared" si="67"/>
        <v>N/A</v>
      </c>
      <c r="N77" s="481" t="str">
        <f t="shared" si="67"/>
        <v>N/A</v>
      </c>
      <c r="O77" s="481" t="str">
        <f t="shared" si="67"/>
        <v>N/A</v>
      </c>
      <c r="P77" s="481" t="str">
        <f t="shared" si="67"/>
        <v>N/A</v>
      </c>
      <c r="Q77" s="481" t="str">
        <f t="shared" si="67"/>
        <v>N/A</v>
      </c>
      <c r="R77" s="481" t="str">
        <f t="shared" si="67"/>
        <v>N/A</v>
      </c>
      <c r="S77" s="481" t="str">
        <f t="shared" si="67"/>
        <v>N/A</v>
      </c>
      <c r="T77" s="481" t="str">
        <f t="shared" si="67"/>
        <v>N/A</v>
      </c>
      <c r="U77" s="481" t="str">
        <f t="shared" si="67"/>
        <v>N/A</v>
      </c>
      <c r="V77" s="481" t="str">
        <f t="shared" si="67"/>
        <v>N/A</v>
      </c>
      <c r="W77" s="481" t="str">
        <f t="shared" si="67"/>
        <v>N/A</v>
      </c>
      <c r="X77" s="481" t="str">
        <f t="shared" si="67"/>
        <v>N/A</v>
      </c>
      <c r="Y77" s="479" t="str">
        <f t="shared" si="67"/>
        <v>N/A</v>
      </c>
      <c r="Z77" s="481" t="str">
        <f t="shared" si="67"/>
        <v>N/A</v>
      </c>
      <c r="AA77" s="92">
        <v>62</v>
      </c>
      <c r="AB77" s="7"/>
      <c r="AC77" s="18"/>
      <c r="AD77" s="18"/>
      <c r="AE77" s="18"/>
      <c r="AF77" s="274"/>
      <c r="AG77" s="274"/>
      <c r="AH77" s="274"/>
      <c r="AI77" s="274"/>
      <c r="AJ77" s="274"/>
      <c r="AK77" s="274"/>
    </row>
    <row r="78" spans="1:46" s="263" customFormat="1" x14ac:dyDescent="0.2">
      <c r="A78" s="427" t="str">
        <f t="shared" si="58"/>
        <v>NVD Qualified Aircrew</v>
      </c>
      <c r="B78" s="481">
        <f t="shared" ref="B78:P78" si="68">ROUNDUP(IF(B$13="Deploy",MAX((B$99/100)*$B114,$B114),(B$99/100)*$B114),0)</f>
        <v>11</v>
      </c>
      <c r="C78" s="481">
        <f t="shared" si="68"/>
        <v>7</v>
      </c>
      <c r="D78" s="481">
        <f t="shared" si="68"/>
        <v>7</v>
      </c>
      <c r="E78" s="481">
        <f t="shared" si="68"/>
        <v>7</v>
      </c>
      <c r="F78" s="481">
        <f t="shared" si="68"/>
        <v>7</v>
      </c>
      <c r="G78" s="481">
        <f t="shared" si="68"/>
        <v>9</v>
      </c>
      <c r="H78" s="481">
        <f t="shared" si="68"/>
        <v>9</v>
      </c>
      <c r="I78" s="481">
        <f t="shared" si="68"/>
        <v>9</v>
      </c>
      <c r="J78" s="481">
        <f t="shared" si="68"/>
        <v>9</v>
      </c>
      <c r="K78" s="481">
        <f t="shared" si="68"/>
        <v>12</v>
      </c>
      <c r="L78" s="481">
        <f t="shared" si="68"/>
        <v>13</v>
      </c>
      <c r="M78" s="481">
        <f t="shared" si="68"/>
        <v>14</v>
      </c>
      <c r="N78" s="481">
        <f t="shared" si="68"/>
        <v>14</v>
      </c>
      <c r="O78" s="481">
        <f t="shared" si="68"/>
        <v>14</v>
      </c>
      <c r="P78" s="481">
        <f t="shared" si="68"/>
        <v>14</v>
      </c>
      <c r="Q78" s="481">
        <f t="shared" ref="Q78:R80" si="69">ROUNDUP(IF(X$13="Deploy",MAX((Q$99/100)*$B114,$B114),(Q$99/100)*$B114),0)</f>
        <v>14</v>
      </c>
      <c r="R78" s="481">
        <f t="shared" si="69"/>
        <v>14</v>
      </c>
      <c r="S78" s="481">
        <f>ROUNDUP(IF(W$13="Deploy",MAX((S$99/100)*$B114,$B114),(S$99/100)*$B114),0)</f>
        <v>14</v>
      </c>
      <c r="T78" s="481">
        <f t="shared" ref="T78:Y80" si="70">ROUNDUP(IF(Q$13="Deploy",MAX((T$99/100)*$B114,$B114),(T$99/100)*$B114),0)</f>
        <v>20</v>
      </c>
      <c r="U78" s="481">
        <f t="shared" si="70"/>
        <v>20</v>
      </c>
      <c r="V78" s="481">
        <f t="shared" si="70"/>
        <v>20</v>
      </c>
      <c r="W78" s="481">
        <f t="shared" si="70"/>
        <v>20</v>
      </c>
      <c r="X78" s="481">
        <f t="shared" si="70"/>
        <v>20</v>
      </c>
      <c r="Y78" s="479">
        <f t="shared" si="70"/>
        <v>20</v>
      </c>
      <c r="Z78" s="481">
        <f>ROUNDUP(IF(Z$13="Deploy",MAX((Z$99/100)*$B114,$B114),(Z$99/100)*$B114),0)</f>
        <v>8</v>
      </c>
      <c r="AA78" s="90">
        <v>63</v>
      </c>
      <c r="AB78" s="7"/>
      <c r="AC78" s="18"/>
      <c r="AD78" s="18"/>
      <c r="AE78" s="85"/>
      <c r="AF78" s="278"/>
      <c r="AG78" s="278"/>
      <c r="AH78" s="278"/>
      <c r="AI78" s="278"/>
      <c r="AJ78" s="278"/>
      <c r="AK78" s="278"/>
      <c r="AL78" s="274"/>
      <c r="AM78" s="274"/>
      <c r="AN78" s="274"/>
      <c r="AO78" s="274"/>
      <c r="AP78" s="274"/>
      <c r="AQ78" s="274"/>
      <c r="AR78" s="274"/>
      <c r="AS78" s="274"/>
      <c r="AT78" s="274"/>
    </row>
    <row r="79" spans="1:46" s="278" customFormat="1" x14ac:dyDescent="0.2">
      <c r="A79" s="427" t="str">
        <f t="shared" si="58"/>
        <v>JHMCS</v>
      </c>
      <c r="B79" s="481">
        <f t="shared" ref="B79:P79" si="71">ROUNDUP(IF(B$13="Deploy",MAX((B$99/100)*$B115,$B115),(B$99/100)*$B115),0)</f>
        <v>11</v>
      </c>
      <c r="C79" s="481">
        <f t="shared" si="71"/>
        <v>7</v>
      </c>
      <c r="D79" s="481">
        <f t="shared" si="71"/>
        <v>7</v>
      </c>
      <c r="E79" s="481">
        <f t="shared" si="71"/>
        <v>7</v>
      </c>
      <c r="F79" s="481">
        <f t="shared" si="71"/>
        <v>7</v>
      </c>
      <c r="G79" s="481">
        <f t="shared" si="71"/>
        <v>9</v>
      </c>
      <c r="H79" s="481">
        <f t="shared" si="71"/>
        <v>9</v>
      </c>
      <c r="I79" s="481">
        <f t="shared" si="71"/>
        <v>9</v>
      </c>
      <c r="J79" s="481">
        <f t="shared" si="71"/>
        <v>9</v>
      </c>
      <c r="K79" s="481">
        <f t="shared" si="71"/>
        <v>12</v>
      </c>
      <c r="L79" s="481">
        <f t="shared" si="71"/>
        <v>13</v>
      </c>
      <c r="M79" s="481">
        <f t="shared" si="71"/>
        <v>14</v>
      </c>
      <c r="N79" s="481">
        <f t="shared" si="71"/>
        <v>14</v>
      </c>
      <c r="O79" s="481">
        <f t="shared" si="71"/>
        <v>14</v>
      </c>
      <c r="P79" s="481">
        <f t="shared" si="71"/>
        <v>14</v>
      </c>
      <c r="Q79" s="481">
        <f t="shared" si="69"/>
        <v>14</v>
      </c>
      <c r="R79" s="481">
        <f t="shared" si="69"/>
        <v>14</v>
      </c>
      <c r="S79" s="481">
        <f>ROUNDUP(IF(W$13="Deploy",MAX((S$99/100)*$B115,$B115),(S$99/100)*$B115),0)</f>
        <v>14</v>
      </c>
      <c r="T79" s="481">
        <f t="shared" si="70"/>
        <v>20</v>
      </c>
      <c r="U79" s="481">
        <f t="shared" si="70"/>
        <v>20</v>
      </c>
      <c r="V79" s="481">
        <f t="shared" si="70"/>
        <v>20</v>
      </c>
      <c r="W79" s="481">
        <f t="shared" si="70"/>
        <v>20</v>
      </c>
      <c r="X79" s="481">
        <f t="shared" si="70"/>
        <v>20</v>
      </c>
      <c r="Y79" s="479">
        <f t="shared" si="70"/>
        <v>20</v>
      </c>
      <c r="Z79" s="481">
        <f>ROUNDUP(IF(Z$13="Deploy",MAX((Z$99/100)*$B115,$B115),(Z$99/100)*$B115),0)</f>
        <v>8</v>
      </c>
      <c r="AA79" s="92">
        <v>64</v>
      </c>
      <c r="AB79" s="18"/>
      <c r="AC79" s="85"/>
      <c r="AD79" s="85"/>
      <c r="AE79" s="274"/>
      <c r="AF79" s="274"/>
      <c r="AG79" s="274"/>
      <c r="AH79" s="274"/>
      <c r="AI79" s="274"/>
      <c r="AJ79" s="274"/>
      <c r="AK79" s="274"/>
    </row>
    <row r="80" spans="1:46" s="263" customFormat="1" ht="12" x14ac:dyDescent="0.2">
      <c r="A80" s="427" t="str">
        <f t="shared" si="58"/>
        <v>Required Skilled Crews</v>
      </c>
      <c r="B80" s="481">
        <f t="shared" ref="B80:P80" si="72">ROUNDUP(IF(B$13="Deploy",MAX((B$99/100)*$B116,$B116),(B$99/100)*$B116),0)</f>
        <v>6</v>
      </c>
      <c r="C80" s="481">
        <f t="shared" si="72"/>
        <v>4</v>
      </c>
      <c r="D80" s="481">
        <f t="shared" si="72"/>
        <v>4</v>
      </c>
      <c r="E80" s="481">
        <f t="shared" si="72"/>
        <v>4</v>
      </c>
      <c r="F80" s="481">
        <f t="shared" si="72"/>
        <v>4</v>
      </c>
      <c r="G80" s="481">
        <f t="shared" si="72"/>
        <v>5</v>
      </c>
      <c r="H80" s="481">
        <f t="shared" si="72"/>
        <v>5</v>
      </c>
      <c r="I80" s="481">
        <f t="shared" si="72"/>
        <v>5</v>
      </c>
      <c r="J80" s="481">
        <f t="shared" si="72"/>
        <v>5</v>
      </c>
      <c r="K80" s="481">
        <f t="shared" si="72"/>
        <v>7</v>
      </c>
      <c r="L80" s="481">
        <f t="shared" si="72"/>
        <v>7</v>
      </c>
      <c r="M80" s="481">
        <f t="shared" si="72"/>
        <v>8</v>
      </c>
      <c r="N80" s="481">
        <f t="shared" si="72"/>
        <v>8</v>
      </c>
      <c r="O80" s="481">
        <f t="shared" si="72"/>
        <v>8</v>
      </c>
      <c r="P80" s="481">
        <f t="shared" si="72"/>
        <v>8</v>
      </c>
      <c r="Q80" s="481">
        <f t="shared" si="69"/>
        <v>8</v>
      </c>
      <c r="R80" s="481">
        <f t="shared" si="69"/>
        <v>8</v>
      </c>
      <c r="S80" s="481">
        <f>ROUNDUP(IF(W$13="Deploy",MAX((S$99/100)*$B116,$B116),(S$99/100)*$B116),0)</f>
        <v>8</v>
      </c>
      <c r="T80" s="481">
        <f t="shared" si="70"/>
        <v>11</v>
      </c>
      <c r="U80" s="481">
        <f t="shared" si="70"/>
        <v>11</v>
      </c>
      <c r="V80" s="481">
        <f t="shared" si="70"/>
        <v>11</v>
      </c>
      <c r="W80" s="481">
        <f t="shared" si="70"/>
        <v>11</v>
      </c>
      <c r="X80" s="481">
        <f t="shared" si="70"/>
        <v>11</v>
      </c>
      <c r="Y80" s="479">
        <f t="shared" si="70"/>
        <v>11</v>
      </c>
      <c r="Z80" s="481">
        <f>ROUNDUP(IF(Z$13="Deploy",MAX((Z$99/100)*$B116,$B116),(Z$99/100)*$B116),0)</f>
        <v>5</v>
      </c>
      <c r="AA80" s="90">
        <v>65</v>
      </c>
      <c r="AB80" s="18"/>
      <c r="AC80" s="299"/>
      <c r="AD80" s="274"/>
      <c r="AE80" s="278"/>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295"/>
      <c r="Z81" s="486"/>
      <c r="AA81" s="299"/>
      <c r="AB81" s="299"/>
      <c r="AC81" s="300"/>
      <c r="AD81" s="278"/>
      <c r="AE81" s="274"/>
      <c r="AF81" s="278"/>
      <c r="AG81" s="278"/>
      <c r="AH81" s="278"/>
      <c r="AI81" s="278"/>
      <c r="AJ81" s="278"/>
      <c r="AK81" s="278"/>
      <c r="AL81" s="274"/>
      <c r="AM81" s="274"/>
      <c r="AN81" s="274"/>
      <c r="AO81" s="274"/>
      <c r="AP81" s="274"/>
      <c r="AQ81" s="274"/>
      <c r="AR81" s="274"/>
      <c r="AS81" s="274"/>
      <c r="AT81" s="274"/>
    </row>
    <row r="82" spans="1:46" s="278" customFormat="1" ht="12" x14ac:dyDescent="0.2">
      <c r="A82" s="427" t="s">
        <v>203</v>
      </c>
      <c r="B82" s="296">
        <v>0.9</v>
      </c>
      <c r="C82" s="296">
        <v>0.9</v>
      </c>
      <c r="D82" s="296">
        <v>0.9</v>
      </c>
      <c r="E82" s="296">
        <v>0.9</v>
      </c>
      <c r="F82" s="296">
        <v>0.9</v>
      </c>
      <c r="G82" s="296">
        <v>0.9</v>
      </c>
      <c r="H82" s="296">
        <v>0.9</v>
      </c>
      <c r="I82" s="296">
        <v>0.9</v>
      </c>
      <c r="J82" s="296">
        <v>0.9</v>
      </c>
      <c r="K82" s="296">
        <v>0.9</v>
      </c>
      <c r="L82" s="296">
        <v>0.9</v>
      </c>
      <c r="M82" s="296">
        <v>0.9</v>
      </c>
      <c r="N82" s="296">
        <v>0.9</v>
      </c>
      <c r="O82" s="296">
        <v>0.9</v>
      </c>
      <c r="P82" s="296">
        <v>0.9</v>
      </c>
      <c r="Q82" s="296">
        <v>0.9</v>
      </c>
      <c r="R82" s="296">
        <v>0.9</v>
      </c>
      <c r="S82" s="296">
        <v>0.9</v>
      </c>
      <c r="T82" s="296">
        <v>0.9</v>
      </c>
      <c r="U82" s="296">
        <v>0.9</v>
      </c>
      <c r="V82" s="296">
        <v>0.9</v>
      </c>
      <c r="W82" s="296">
        <v>0.9</v>
      </c>
      <c r="X82" s="296">
        <v>0.9</v>
      </c>
      <c r="Y82" s="331">
        <v>0.9</v>
      </c>
      <c r="Z82" s="487">
        <v>0.9</v>
      </c>
      <c r="AA82" s="300"/>
      <c r="AB82" s="300"/>
      <c r="AC82" s="300"/>
      <c r="AD82" s="274"/>
      <c r="AE82" s="274"/>
      <c r="AF82" s="7"/>
      <c r="AG82" s="7"/>
      <c r="AH82" s="7"/>
      <c r="AI82" s="7"/>
      <c r="AJ82" s="7"/>
      <c r="AK82" s="7"/>
    </row>
    <row r="83" spans="1:46" x14ac:dyDescent="0.2">
      <c r="A83" s="427" t="s">
        <v>204</v>
      </c>
      <c r="B83" s="487">
        <v>0.9</v>
      </c>
      <c r="C83" s="487">
        <v>0.9</v>
      </c>
      <c r="D83" s="487">
        <v>0.9</v>
      </c>
      <c r="E83" s="487">
        <v>0.9</v>
      </c>
      <c r="F83" s="487">
        <v>0.9</v>
      </c>
      <c r="G83" s="487">
        <v>0.9</v>
      </c>
      <c r="H83" s="487">
        <v>0.9</v>
      </c>
      <c r="I83" s="487">
        <v>0.9</v>
      </c>
      <c r="J83" s="487">
        <v>0.9</v>
      </c>
      <c r="K83" s="487">
        <v>0.9</v>
      </c>
      <c r="L83" s="487">
        <v>0.9</v>
      </c>
      <c r="M83" s="487">
        <v>0.9</v>
      </c>
      <c r="N83" s="487">
        <v>0.9</v>
      </c>
      <c r="O83" s="487">
        <v>0.9</v>
      </c>
      <c r="P83" s="487">
        <v>0.9</v>
      </c>
      <c r="Q83" s="487">
        <v>0.9</v>
      </c>
      <c r="R83" s="487">
        <v>0.9</v>
      </c>
      <c r="S83" s="487">
        <v>0.9</v>
      </c>
      <c r="T83" s="487">
        <v>0.9</v>
      </c>
      <c r="U83" s="487">
        <v>0.9</v>
      </c>
      <c r="V83" s="487">
        <v>0.9</v>
      </c>
      <c r="W83" s="487">
        <v>0.9</v>
      </c>
      <c r="X83" s="487">
        <v>0.9</v>
      </c>
      <c r="Y83" s="488">
        <v>0.9</v>
      </c>
      <c r="Z83" s="487">
        <v>0.9</v>
      </c>
      <c r="AA83" s="300"/>
      <c r="AB83" s="300"/>
      <c r="AC83" s="300"/>
      <c r="AD83" s="274"/>
      <c r="AE83" s="278"/>
      <c r="AF83" s="85"/>
    </row>
    <row r="84" spans="1:46"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7">
        <v>0.75</v>
      </c>
      <c r="Y84" s="488">
        <v>0.75</v>
      </c>
      <c r="Z84" s="487">
        <v>0.75</v>
      </c>
      <c r="AA84" s="300"/>
      <c r="AB84" s="300"/>
      <c r="AC84" s="300"/>
      <c r="AD84" s="278"/>
      <c r="AE84" s="85"/>
      <c r="AF84" s="85"/>
    </row>
    <row r="85" spans="1:46" x14ac:dyDescent="0.2">
      <c r="A85" s="131"/>
      <c r="B85" s="37"/>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90"/>
      <c r="AC85" s="85"/>
      <c r="AD85" s="85"/>
      <c r="AF85" s="85"/>
    </row>
    <row r="86" spans="1:46" x14ac:dyDescent="0.2">
      <c r="A86" s="34"/>
      <c r="B86" s="34"/>
      <c r="C86" s="34"/>
      <c r="D86" s="34"/>
      <c r="E86" s="112" t="s">
        <v>207</v>
      </c>
      <c r="F86" s="91"/>
      <c r="G86" s="111"/>
      <c r="H86" s="87"/>
      <c r="I86" s="114"/>
      <c r="J86" s="114"/>
      <c r="K86" s="91"/>
      <c r="L86" s="91"/>
      <c r="M86" s="115"/>
      <c r="N86" s="87"/>
      <c r="O86" s="34"/>
      <c r="P86" s="34"/>
      <c r="Q86" s="34"/>
      <c r="R86" s="18"/>
      <c r="S86" s="18"/>
      <c r="T86" s="18"/>
      <c r="U86" s="18"/>
      <c r="V86" s="111"/>
      <c r="W86" s="111"/>
      <c r="X86" s="111"/>
      <c r="Y86" s="111"/>
      <c r="Z86" s="111"/>
      <c r="AA86" s="92"/>
      <c r="AE86" s="99"/>
    </row>
    <row r="87" spans="1:46" x14ac:dyDescent="0.2">
      <c r="A87" s="34"/>
      <c r="B87" s="34"/>
      <c r="C87" s="34"/>
      <c r="D87" s="34"/>
      <c r="E87" s="100" t="s">
        <v>209</v>
      </c>
      <c r="F87" s="72"/>
      <c r="G87" s="96" t="s">
        <v>210</v>
      </c>
      <c r="I87" s="117"/>
      <c r="J87" s="114"/>
      <c r="K87" s="91"/>
      <c r="L87" s="91"/>
      <c r="M87" s="116"/>
      <c r="N87" s="117"/>
      <c r="O87" s="34"/>
      <c r="P87" s="34"/>
      <c r="Q87" s="34"/>
      <c r="V87" s="111"/>
      <c r="W87" s="111"/>
      <c r="X87" s="111"/>
      <c r="Y87" s="111"/>
      <c r="Z87" s="111"/>
      <c r="AB87" s="85"/>
      <c r="AC87" s="99"/>
      <c r="AD87" s="99"/>
      <c r="AF87" s="99"/>
      <c r="AG87" s="18"/>
      <c r="AH87" s="18"/>
      <c r="AI87" s="18"/>
      <c r="AJ87" s="18"/>
      <c r="AK87" s="18"/>
    </row>
    <row r="88" spans="1:46" s="18" customFormat="1" x14ac:dyDescent="0.2">
      <c r="A88" s="113" t="s">
        <v>206</v>
      </c>
      <c r="B88" s="34"/>
      <c r="C88" s="34"/>
      <c r="D88" s="34"/>
      <c r="E88" s="100" t="s">
        <v>211</v>
      </c>
      <c r="F88" s="72"/>
      <c r="G88" s="118" t="s">
        <v>212</v>
      </c>
      <c r="H88" s="7"/>
      <c r="I88" s="117"/>
      <c r="J88" s="114"/>
      <c r="K88" s="91"/>
      <c r="L88" s="91"/>
      <c r="M88" s="109"/>
      <c r="N88" s="117"/>
      <c r="O88" s="34"/>
      <c r="P88" s="34"/>
      <c r="Q88" s="34"/>
      <c r="R88" s="7"/>
      <c r="S88" s="7"/>
      <c r="T88" s="7"/>
      <c r="U88" s="7"/>
      <c r="V88" s="111"/>
      <c r="W88" s="111"/>
      <c r="X88" s="111"/>
      <c r="Y88" s="111"/>
      <c r="Z88" s="111"/>
      <c r="AA88" s="85"/>
      <c r="AB88" s="85"/>
      <c r="AC88" s="7"/>
      <c r="AD88" s="7"/>
      <c r="AE88" s="7"/>
      <c r="AF88" s="7"/>
    </row>
    <row r="89" spans="1:46" s="18" customFormat="1" x14ac:dyDescent="0.2">
      <c r="A89" s="96" t="s">
        <v>279</v>
      </c>
      <c r="B89" s="34"/>
      <c r="C89" s="34"/>
      <c r="D89" s="34"/>
      <c r="E89" s="100" t="s">
        <v>213</v>
      </c>
      <c r="F89" s="72"/>
      <c r="G89" s="119" t="s">
        <v>214</v>
      </c>
      <c r="H89" s="7"/>
      <c r="I89" s="87"/>
      <c r="J89" s="87"/>
      <c r="K89" s="87"/>
      <c r="L89" s="87"/>
      <c r="M89" s="34"/>
      <c r="N89" s="87"/>
      <c r="O89" s="34"/>
      <c r="P89" s="34"/>
      <c r="Q89" s="34"/>
      <c r="R89" s="7"/>
      <c r="S89" s="7"/>
      <c r="T89" s="7"/>
      <c r="U89" s="7"/>
      <c r="V89" s="111"/>
      <c r="W89" s="111"/>
      <c r="X89" s="111"/>
      <c r="Y89" s="111"/>
      <c r="Z89" s="111"/>
      <c r="AA89" s="85"/>
      <c r="AB89" s="85"/>
      <c r="AC89" s="7"/>
      <c r="AD89" s="7"/>
      <c r="AE89" s="7"/>
      <c r="AF89" s="7"/>
    </row>
    <row r="90" spans="1:46" s="18" customFormat="1" x14ac:dyDescent="0.2">
      <c r="A90" s="34"/>
      <c r="B90" s="87"/>
      <c r="C90" s="87"/>
      <c r="D90" s="87"/>
      <c r="E90" s="100" t="s">
        <v>215</v>
      </c>
      <c r="F90" s="72"/>
      <c r="G90" s="119" t="s">
        <v>216</v>
      </c>
      <c r="H90" s="7"/>
      <c r="I90" s="87"/>
      <c r="J90" s="87"/>
      <c r="K90" s="87"/>
      <c r="L90" s="87"/>
      <c r="M90" s="34"/>
      <c r="N90" s="87"/>
      <c r="O90" s="87"/>
      <c r="P90" s="34"/>
      <c r="Q90" s="34"/>
      <c r="R90" s="7"/>
      <c r="S90" s="7"/>
      <c r="T90" s="7"/>
      <c r="U90" s="7"/>
      <c r="V90" s="111"/>
      <c r="W90" s="111"/>
      <c r="X90" s="111"/>
      <c r="Y90" s="111"/>
      <c r="Z90" s="111"/>
      <c r="AA90" s="85"/>
      <c r="AB90" s="7"/>
      <c r="AC90" s="7"/>
      <c r="AD90" s="7"/>
      <c r="AE90" s="7"/>
      <c r="AF90" s="7"/>
      <c r="AG90" s="7"/>
      <c r="AH90" s="7"/>
      <c r="AI90" s="7"/>
      <c r="AJ90" s="7"/>
      <c r="AK90" s="7"/>
    </row>
    <row r="91" spans="1:46" x14ac:dyDescent="0.2">
      <c r="A91" s="34"/>
      <c r="B91" s="87"/>
      <c r="C91" s="87"/>
      <c r="D91" s="87"/>
      <c r="E91" s="87"/>
      <c r="F91" s="87"/>
      <c r="G91" s="87"/>
      <c r="H91" s="34"/>
      <c r="I91" s="87"/>
      <c r="J91" s="87"/>
      <c r="K91" s="87"/>
      <c r="L91" s="87"/>
      <c r="M91" s="34"/>
      <c r="N91" s="87"/>
      <c r="O91" s="87"/>
      <c r="P91" s="34"/>
      <c r="Q91" s="34"/>
      <c r="R91" s="100"/>
      <c r="S91" s="72"/>
      <c r="U91" s="119"/>
      <c r="V91" s="111"/>
      <c r="W91" s="111"/>
      <c r="X91" s="111"/>
      <c r="Y91" s="111"/>
      <c r="Z91" s="111"/>
      <c r="AB91" s="99"/>
    </row>
    <row r="92" spans="1:46" ht="13.5" thickBot="1" x14ac:dyDescent="0.25">
      <c r="X92" s="42"/>
      <c r="Y92" s="42"/>
      <c r="Z92" s="42"/>
      <c r="AG92" s="18"/>
      <c r="AH92" s="18"/>
      <c r="AI92" s="18"/>
      <c r="AJ92" s="18"/>
      <c r="AK92" s="18"/>
    </row>
    <row r="93" spans="1:46" s="18" customFormat="1" ht="13.5" thickBot="1" x14ac:dyDescent="0.25">
      <c r="A93" s="640" t="s">
        <v>217</v>
      </c>
      <c r="B93" s="641"/>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2"/>
      <c r="AA93" s="85"/>
      <c r="AB93" s="7"/>
      <c r="AC93" s="7"/>
      <c r="AD93" s="7"/>
      <c r="AE93" s="7"/>
      <c r="AF93" s="7"/>
    </row>
    <row r="94" spans="1:46" s="18" customFormat="1" x14ac:dyDescent="0.2">
      <c r="A94" s="52" t="s">
        <v>218</v>
      </c>
      <c r="B94" s="53">
        <f t="shared" ref="B94:Y94" si="73">MIN(100,B96+$B$100)</f>
        <v>41.509487922091338</v>
      </c>
      <c r="C94" s="53">
        <f t="shared" si="73"/>
        <v>41.509487922091338</v>
      </c>
      <c r="D94" s="53">
        <f t="shared" si="73"/>
        <v>41.509487922091338</v>
      </c>
      <c r="E94" s="53">
        <f t="shared" si="73"/>
        <v>41.509487922091338</v>
      </c>
      <c r="F94" s="53">
        <f t="shared" si="73"/>
        <v>51.509487922091338</v>
      </c>
      <c r="G94" s="53">
        <f t="shared" si="73"/>
        <v>56.509487922091338</v>
      </c>
      <c r="H94" s="53">
        <f t="shared" si="73"/>
        <v>61.509487922091338</v>
      </c>
      <c r="I94" s="53">
        <f t="shared" si="73"/>
        <v>66.509487922091338</v>
      </c>
      <c r="J94" s="53">
        <f t="shared" si="73"/>
        <v>81.509487922091338</v>
      </c>
      <c r="K94" s="53">
        <f t="shared" si="73"/>
        <v>100</v>
      </c>
      <c r="L94" s="53">
        <f t="shared" si="73"/>
        <v>100</v>
      </c>
      <c r="M94" s="53">
        <f t="shared" si="73"/>
        <v>100</v>
      </c>
      <c r="N94" s="53">
        <f t="shared" si="73"/>
        <v>100</v>
      </c>
      <c r="O94" s="53">
        <f t="shared" si="73"/>
        <v>100</v>
      </c>
      <c r="P94" s="53">
        <f t="shared" si="73"/>
        <v>100</v>
      </c>
      <c r="Q94" s="53">
        <f t="shared" si="73"/>
        <v>100</v>
      </c>
      <c r="R94" s="53">
        <f t="shared" si="73"/>
        <v>100</v>
      </c>
      <c r="S94" s="53">
        <f t="shared" si="73"/>
        <v>100</v>
      </c>
      <c r="T94" s="53">
        <f t="shared" si="73"/>
        <v>100</v>
      </c>
      <c r="U94" s="53">
        <f t="shared" si="73"/>
        <v>100</v>
      </c>
      <c r="V94" s="53">
        <f t="shared" si="73"/>
        <v>100</v>
      </c>
      <c r="W94" s="53">
        <f t="shared" si="73"/>
        <v>100</v>
      </c>
      <c r="X94" s="53">
        <f t="shared" si="73"/>
        <v>100</v>
      </c>
      <c r="Y94" s="53">
        <f t="shared" si="73"/>
        <v>100</v>
      </c>
      <c r="Z94" s="60">
        <f>MIN(100,Z96+$B$100)</f>
        <v>46.509487922091338</v>
      </c>
      <c r="AA94" s="85"/>
      <c r="AB94" s="7"/>
      <c r="AC94" s="7"/>
      <c r="AD94" s="7"/>
      <c r="AE94" s="7"/>
      <c r="AF94" s="7"/>
      <c r="AG94" s="7"/>
      <c r="AH94" s="7"/>
      <c r="AI94" s="7"/>
      <c r="AJ94" s="7"/>
      <c r="AK94" s="7"/>
    </row>
    <row r="95" spans="1:46" x14ac:dyDescent="0.2">
      <c r="A95" s="489" t="s">
        <v>219</v>
      </c>
      <c r="B95" s="490">
        <f t="shared" ref="B95:Y95" si="74">MIN(100,B96+$B$101)</f>
        <v>23.254743961045669</v>
      </c>
      <c r="C95" s="490">
        <f t="shared" si="74"/>
        <v>23.254743961045669</v>
      </c>
      <c r="D95" s="490">
        <f t="shared" si="74"/>
        <v>23.254743961045669</v>
      </c>
      <c r="E95" s="490">
        <f t="shared" si="74"/>
        <v>23.254743961045669</v>
      </c>
      <c r="F95" s="490">
        <f t="shared" si="74"/>
        <v>33.254743961045669</v>
      </c>
      <c r="G95" s="490">
        <f t="shared" si="74"/>
        <v>38.254743961045669</v>
      </c>
      <c r="H95" s="490">
        <f t="shared" si="74"/>
        <v>43.254743961045669</v>
      </c>
      <c r="I95" s="490">
        <f t="shared" si="74"/>
        <v>48.254743961045669</v>
      </c>
      <c r="J95" s="490">
        <f t="shared" si="74"/>
        <v>63.254743961045669</v>
      </c>
      <c r="K95" s="490">
        <f t="shared" si="74"/>
        <v>83.254743961045676</v>
      </c>
      <c r="L95" s="490">
        <f t="shared" si="74"/>
        <v>93.254743961045676</v>
      </c>
      <c r="M95" s="490">
        <f t="shared" si="74"/>
        <v>98.254743961045676</v>
      </c>
      <c r="N95" s="490">
        <f t="shared" si="74"/>
        <v>100</v>
      </c>
      <c r="O95" s="490">
        <f t="shared" si="74"/>
        <v>100</v>
      </c>
      <c r="P95" s="490">
        <f t="shared" si="74"/>
        <v>100</v>
      </c>
      <c r="Q95" s="490">
        <f t="shared" si="74"/>
        <v>100</v>
      </c>
      <c r="R95" s="490">
        <f t="shared" si="74"/>
        <v>100</v>
      </c>
      <c r="S95" s="490">
        <f t="shared" si="74"/>
        <v>100</v>
      </c>
      <c r="T95" s="490">
        <f t="shared" si="74"/>
        <v>100</v>
      </c>
      <c r="U95" s="490">
        <f t="shared" si="74"/>
        <v>100</v>
      </c>
      <c r="V95" s="490">
        <f t="shared" si="74"/>
        <v>100</v>
      </c>
      <c r="W95" s="490">
        <f t="shared" si="74"/>
        <v>100</v>
      </c>
      <c r="X95" s="490">
        <f t="shared" si="74"/>
        <v>100</v>
      </c>
      <c r="Y95" s="490">
        <f t="shared" si="74"/>
        <v>100</v>
      </c>
      <c r="Z95" s="492">
        <f>MIN(100,Z96+$B$101)</f>
        <v>28.254743961045669</v>
      </c>
    </row>
    <row r="96" spans="1:46" x14ac:dyDescent="0.2">
      <c r="A96" s="489" t="s">
        <v>220</v>
      </c>
      <c r="B96" s="493">
        <v>5</v>
      </c>
      <c r="C96" s="493">
        <v>5</v>
      </c>
      <c r="D96" s="493">
        <v>5</v>
      </c>
      <c r="E96" s="493">
        <v>5</v>
      </c>
      <c r="F96" s="493">
        <v>15</v>
      </c>
      <c r="G96" s="493">
        <v>20</v>
      </c>
      <c r="H96" s="493">
        <v>25</v>
      </c>
      <c r="I96" s="493">
        <v>30</v>
      </c>
      <c r="J96" s="493">
        <v>45</v>
      </c>
      <c r="K96" s="493">
        <v>65</v>
      </c>
      <c r="L96" s="493">
        <v>75</v>
      </c>
      <c r="M96" s="493">
        <v>80</v>
      </c>
      <c r="N96" s="493">
        <v>85</v>
      </c>
      <c r="O96" s="493">
        <v>85</v>
      </c>
      <c r="P96" s="493">
        <v>85</v>
      </c>
      <c r="Q96" s="493">
        <v>85</v>
      </c>
      <c r="R96" s="493">
        <v>85</v>
      </c>
      <c r="S96" s="493">
        <v>85</v>
      </c>
      <c r="T96" s="493">
        <v>100</v>
      </c>
      <c r="U96" s="493">
        <v>100</v>
      </c>
      <c r="V96" s="493">
        <v>100</v>
      </c>
      <c r="W96" s="493">
        <v>100</v>
      </c>
      <c r="X96" s="493">
        <v>100</v>
      </c>
      <c r="Y96" s="493">
        <v>100</v>
      </c>
      <c r="Z96" s="495">
        <v>10</v>
      </c>
      <c r="AE96" s="99"/>
    </row>
    <row r="97" spans="1:37" x14ac:dyDescent="0.2">
      <c r="A97" s="489" t="s">
        <v>221</v>
      </c>
      <c r="B97" s="490">
        <f t="shared" ref="B97:P97" si="75">MIN(80,IF(B13="Deploy",80,MAX(0,B96-$B$101)))</f>
        <v>0</v>
      </c>
      <c r="C97" s="490">
        <f t="shared" si="75"/>
        <v>0</v>
      </c>
      <c r="D97" s="490">
        <f t="shared" si="75"/>
        <v>0</v>
      </c>
      <c r="E97" s="490">
        <f t="shared" si="75"/>
        <v>0</v>
      </c>
      <c r="F97" s="490">
        <f t="shared" si="75"/>
        <v>0</v>
      </c>
      <c r="G97" s="490">
        <f t="shared" si="75"/>
        <v>1.7452560389543308</v>
      </c>
      <c r="H97" s="490">
        <f t="shared" si="75"/>
        <v>6.7452560389543308</v>
      </c>
      <c r="I97" s="490">
        <f t="shared" si="75"/>
        <v>11.745256038954331</v>
      </c>
      <c r="J97" s="490">
        <f t="shared" si="75"/>
        <v>26.745256038954331</v>
      </c>
      <c r="K97" s="490">
        <f t="shared" si="75"/>
        <v>46.745256038954331</v>
      </c>
      <c r="L97" s="490">
        <f t="shared" si="75"/>
        <v>56.745256038954331</v>
      </c>
      <c r="M97" s="490">
        <f t="shared" si="75"/>
        <v>61.745256038954331</v>
      </c>
      <c r="N97" s="490">
        <f t="shared" si="75"/>
        <v>66.745256038954324</v>
      </c>
      <c r="O97" s="490">
        <f t="shared" si="75"/>
        <v>66.745256038954324</v>
      </c>
      <c r="P97" s="490">
        <f t="shared" si="75"/>
        <v>66.745256038954324</v>
      </c>
      <c r="Q97" s="490">
        <f>MIN(80,IF(X13="Deploy",80,MAX(0,Q96-$B$101)))</f>
        <v>66.745256038954324</v>
      </c>
      <c r="R97" s="490">
        <f>MIN(80,IF(Y13="Deploy",80,MAX(0,R96-$B$101)))</f>
        <v>66.745256038954324</v>
      </c>
      <c r="S97" s="490">
        <f>MIN(80,IF(W13="Deploy",80,MAX(0,S96-$B$101)))</f>
        <v>66.745256038954324</v>
      </c>
      <c r="T97" s="490">
        <f t="shared" ref="T97:Y97" si="76">MIN(80,IF(Q13="Deploy",80,MAX(0,T96-$B$101)))</f>
        <v>80</v>
      </c>
      <c r="U97" s="490">
        <f t="shared" si="76"/>
        <v>80</v>
      </c>
      <c r="V97" s="490">
        <f t="shared" si="76"/>
        <v>80</v>
      </c>
      <c r="W97" s="490">
        <f t="shared" si="76"/>
        <v>80</v>
      </c>
      <c r="X97" s="490">
        <f t="shared" si="76"/>
        <v>80</v>
      </c>
      <c r="Y97" s="490">
        <f t="shared" si="76"/>
        <v>80</v>
      </c>
      <c r="Z97" s="492">
        <f>MIN(80,IF(Z15="Deploy",80,MAX(0,Z96-$B$101)))</f>
        <v>0</v>
      </c>
      <c r="AC97" s="99"/>
      <c r="AD97" s="99"/>
      <c r="AE97" s="99"/>
      <c r="AF97" s="99"/>
    </row>
    <row r="98" spans="1:37" ht="13.5" thickBot="1" x14ac:dyDescent="0.25">
      <c r="A98" s="496" t="s">
        <v>222</v>
      </c>
      <c r="B98" s="497">
        <f t="shared" ref="B98:P98" si="77">MIN(60,IF(B14="Deploy",60,MAX(0,B96-$B$100)))</f>
        <v>0</v>
      </c>
      <c r="C98" s="497">
        <f t="shared" si="77"/>
        <v>0</v>
      </c>
      <c r="D98" s="497">
        <f t="shared" si="77"/>
        <v>0</v>
      </c>
      <c r="E98" s="497">
        <f t="shared" si="77"/>
        <v>0</v>
      </c>
      <c r="F98" s="497">
        <f t="shared" si="77"/>
        <v>0</v>
      </c>
      <c r="G98" s="497">
        <f t="shared" si="77"/>
        <v>0</v>
      </c>
      <c r="H98" s="497">
        <f t="shared" si="77"/>
        <v>0</v>
      </c>
      <c r="I98" s="497">
        <f t="shared" si="77"/>
        <v>0</v>
      </c>
      <c r="J98" s="497">
        <f t="shared" si="77"/>
        <v>8.4905120779086616</v>
      </c>
      <c r="K98" s="497">
        <f t="shared" si="77"/>
        <v>28.490512077908662</v>
      </c>
      <c r="L98" s="497">
        <f t="shared" si="77"/>
        <v>38.490512077908662</v>
      </c>
      <c r="M98" s="497">
        <f t="shared" si="77"/>
        <v>43.490512077908662</v>
      </c>
      <c r="N98" s="497">
        <f t="shared" si="77"/>
        <v>48.490512077908662</v>
      </c>
      <c r="O98" s="497">
        <f t="shared" si="77"/>
        <v>48.490512077908662</v>
      </c>
      <c r="P98" s="497">
        <f t="shared" si="77"/>
        <v>48.490512077908662</v>
      </c>
      <c r="Q98" s="497">
        <f>MIN(60,IF(X14="Deploy",60,MAX(0,Q96-$B$100)))</f>
        <v>48.490512077908662</v>
      </c>
      <c r="R98" s="497">
        <f>MIN(60,IF(Y14="Deploy",60,MAX(0,R96-$B$100)))</f>
        <v>48.490512077908662</v>
      </c>
      <c r="S98" s="497">
        <f>MIN(60,IF(W14="Deploy",60,MAX(0,S96-$B$100)))</f>
        <v>48.490512077908662</v>
      </c>
      <c r="T98" s="497">
        <f t="shared" ref="T98:Y98" si="78">MIN(60,IF(Q14="Deploy",60,MAX(0,T96-$B$100)))</f>
        <v>60</v>
      </c>
      <c r="U98" s="497">
        <f t="shared" si="78"/>
        <v>60</v>
      </c>
      <c r="V98" s="497">
        <f t="shared" si="78"/>
        <v>60</v>
      </c>
      <c r="W98" s="497">
        <f t="shared" si="78"/>
        <v>60</v>
      </c>
      <c r="X98" s="497">
        <f t="shared" si="78"/>
        <v>60</v>
      </c>
      <c r="Y98" s="497">
        <f t="shared" si="78"/>
        <v>60</v>
      </c>
      <c r="Z98" s="499">
        <f>MIN(60,IF(Z16="Deploy",60,MAX(0,Z96-$B$100)))</f>
        <v>0</v>
      </c>
      <c r="AC98" s="99"/>
      <c r="AD98" s="99"/>
      <c r="AF98" s="99"/>
    </row>
    <row r="99" spans="1:37" ht="13.5" thickBot="1" x14ac:dyDescent="0.25">
      <c r="A99" s="144" t="s">
        <v>223</v>
      </c>
      <c r="B99" s="145">
        <v>52</v>
      </c>
      <c r="C99" s="145">
        <v>32</v>
      </c>
      <c r="D99" s="145">
        <v>32</v>
      </c>
      <c r="E99" s="145">
        <v>32</v>
      </c>
      <c r="F99" s="145">
        <v>32</v>
      </c>
      <c r="G99" s="145">
        <v>42</v>
      </c>
      <c r="H99" s="145">
        <v>42</v>
      </c>
      <c r="I99" s="145">
        <v>42</v>
      </c>
      <c r="J99" s="145">
        <v>43</v>
      </c>
      <c r="K99" s="145">
        <v>58</v>
      </c>
      <c r="L99" s="145">
        <v>62</v>
      </c>
      <c r="M99" s="145">
        <v>67</v>
      </c>
      <c r="N99" s="145">
        <v>69</v>
      </c>
      <c r="O99" s="145">
        <v>70</v>
      </c>
      <c r="P99" s="145">
        <v>70</v>
      </c>
      <c r="Q99" s="145">
        <v>70</v>
      </c>
      <c r="R99" s="145">
        <v>70</v>
      </c>
      <c r="S99" s="145">
        <v>70</v>
      </c>
      <c r="T99" s="145">
        <v>100</v>
      </c>
      <c r="U99" s="145">
        <v>100</v>
      </c>
      <c r="V99" s="145">
        <v>100</v>
      </c>
      <c r="W99" s="145">
        <v>100</v>
      </c>
      <c r="X99" s="145">
        <v>100</v>
      </c>
      <c r="Y99" s="145">
        <v>100</v>
      </c>
      <c r="Z99" s="147">
        <v>37</v>
      </c>
    </row>
    <row r="100" spans="1:37" x14ac:dyDescent="0.2">
      <c r="A100" s="123" t="s">
        <v>224</v>
      </c>
      <c r="B100" s="124">
        <f t="array" ref="B100">SQRT(SUM(POWER(AVERAGE(B96:Y96)-(B96:Y96),2))/COUNT(B96:Y96))*1</f>
        <v>36.509487922091338</v>
      </c>
    </row>
    <row r="101" spans="1:37" ht="13.5" thickBot="1" x14ac:dyDescent="0.25">
      <c r="A101" s="500" t="s">
        <v>225</v>
      </c>
      <c r="B101" s="501">
        <f>B100/2</f>
        <v>18.254743961045669</v>
      </c>
      <c r="AB101" s="99"/>
    </row>
    <row r="102" spans="1:37" ht="13.5" thickBo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B102" s="99"/>
      <c r="AG102" s="99"/>
      <c r="AH102" s="99"/>
      <c r="AI102" s="99"/>
      <c r="AJ102" s="99"/>
      <c r="AK102" s="99"/>
    </row>
    <row r="103" spans="1:37" s="99" customFormat="1" ht="13.5" thickBot="1" x14ac:dyDescent="0.25">
      <c r="A103" s="634" t="s">
        <v>226</v>
      </c>
      <c r="B103" s="635"/>
      <c r="D103" s="125"/>
      <c r="E103" s="125"/>
      <c r="F103" s="125"/>
      <c r="G103" s="125"/>
      <c r="H103" s="125"/>
      <c r="AA103" s="85"/>
      <c r="AB103" s="7"/>
      <c r="AC103" s="7"/>
      <c r="AD103" s="7"/>
      <c r="AE103" s="7"/>
      <c r="AF103" s="7"/>
      <c r="AG103" s="7"/>
      <c r="AH103" s="7"/>
      <c r="AI103" s="7"/>
      <c r="AJ103" s="7"/>
      <c r="AK103" s="7"/>
    </row>
    <row r="104" spans="1:37" ht="13.5" thickBot="1" x14ac:dyDescent="0.25">
      <c r="A104" s="636" t="s">
        <v>227</v>
      </c>
      <c r="B104" s="637"/>
      <c r="C104" s="99"/>
      <c r="D104" s="125"/>
      <c r="E104" s="125"/>
      <c r="F104" s="125"/>
      <c r="G104" s="125"/>
      <c r="H104" s="125"/>
      <c r="I104" s="99"/>
      <c r="J104" s="99"/>
      <c r="K104" s="99"/>
      <c r="L104" s="99"/>
      <c r="M104" s="99"/>
      <c r="N104" s="99"/>
      <c r="O104" s="99"/>
      <c r="P104" s="99"/>
      <c r="Q104" s="99"/>
      <c r="R104" s="99"/>
      <c r="S104" s="99"/>
      <c r="T104" s="99"/>
      <c r="U104" s="99"/>
      <c r="V104" s="99"/>
      <c r="W104" s="99"/>
      <c r="X104" s="99"/>
      <c r="Y104" s="99"/>
      <c r="Z104" s="99"/>
    </row>
    <row r="105" spans="1:37" ht="13.5" thickTop="1" x14ac:dyDescent="0.2">
      <c r="A105" s="21" t="s">
        <v>228</v>
      </c>
      <c r="B105" s="22">
        <v>13</v>
      </c>
      <c r="D105" s="23"/>
      <c r="E105" s="24"/>
      <c r="F105" s="20"/>
      <c r="G105" s="20"/>
      <c r="H105" s="20"/>
    </row>
    <row r="106" spans="1:37" x14ac:dyDescent="0.2">
      <c r="A106" s="502" t="s">
        <v>229</v>
      </c>
      <c r="B106" s="503">
        <v>7</v>
      </c>
      <c r="D106" s="23"/>
      <c r="E106" s="25"/>
      <c r="F106" s="20"/>
      <c r="G106" s="20"/>
      <c r="H106" s="20"/>
    </row>
    <row r="107" spans="1:37" x14ac:dyDescent="0.2">
      <c r="A107" s="21" t="s">
        <v>230</v>
      </c>
      <c r="B107" s="22">
        <v>13</v>
      </c>
      <c r="D107" s="23"/>
      <c r="E107" s="23"/>
      <c r="F107" s="20"/>
      <c r="G107" s="20"/>
      <c r="H107" s="20"/>
    </row>
    <row r="108" spans="1:37" x14ac:dyDescent="0.2">
      <c r="A108" s="502" t="s">
        <v>231</v>
      </c>
      <c r="B108" s="503">
        <v>7</v>
      </c>
      <c r="D108" s="23"/>
      <c r="E108" s="23"/>
      <c r="F108" s="20"/>
      <c r="G108" s="20"/>
      <c r="H108" s="20"/>
    </row>
    <row r="109" spans="1:37" x14ac:dyDescent="0.2">
      <c r="A109" s="502" t="s">
        <v>232</v>
      </c>
      <c r="B109" s="504" t="s">
        <v>200</v>
      </c>
      <c r="D109" s="15"/>
      <c r="E109" s="23"/>
      <c r="F109" s="20"/>
      <c r="G109" s="20"/>
      <c r="H109" s="20"/>
      <c r="AE109" s="99"/>
    </row>
    <row r="110" spans="1:37" x14ac:dyDescent="0.2">
      <c r="A110" s="502" t="s">
        <v>233</v>
      </c>
      <c r="B110" s="504">
        <v>7</v>
      </c>
      <c r="D110" s="15"/>
      <c r="E110" s="23"/>
      <c r="F110" s="20"/>
      <c r="G110" s="20"/>
      <c r="H110" s="20"/>
      <c r="AC110" s="99"/>
      <c r="AD110" s="99"/>
      <c r="AF110" s="99"/>
    </row>
    <row r="111" spans="1:37" x14ac:dyDescent="0.2">
      <c r="A111" s="502" t="s">
        <v>234</v>
      </c>
      <c r="B111" s="504">
        <v>13</v>
      </c>
      <c r="D111" s="15"/>
      <c r="E111" s="23"/>
      <c r="F111" s="20"/>
      <c r="G111" s="20"/>
      <c r="H111" s="20"/>
    </row>
    <row r="112" spans="1:37" x14ac:dyDescent="0.2">
      <c r="A112" s="502" t="s">
        <v>235</v>
      </c>
      <c r="B112" s="503">
        <v>20</v>
      </c>
      <c r="D112" s="15"/>
      <c r="E112" s="23"/>
      <c r="F112" s="20"/>
      <c r="G112" s="20"/>
      <c r="H112" s="20"/>
      <c r="AG112" s="99"/>
      <c r="AH112" s="99"/>
      <c r="AI112" s="99"/>
      <c r="AJ112" s="99"/>
      <c r="AK112" s="99"/>
    </row>
    <row r="113" spans="1:37" s="99" customFormat="1" x14ac:dyDescent="0.2">
      <c r="A113" s="502" t="s">
        <v>236</v>
      </c>
      <c r="B113" s="505" t="s">
        <v>200</v>
      </c>
      <c r="C113" s="7"/>
      <c r="D113" s="15"/>
      <c r="E113" s="7"/>
      <c r="F113" s="7"/>
      <c r="G113" s="20"/>
      <c r="H113" s="20"/>
      <c r="I113" s="7"/>
      <c r="J113" s="7"/>
      <c r="K113" s="7"/>
      <c r="L113" s="7"/>
      <c r="M113" s="7"/>
      <c r="N113" s="7"/>
      <c r="O113" s="7"/>
      <c r="P113" s="7"/>
      <c r="Q113" s="7"/>
      <c r="R113" s="7"/>
      <c r="S113" s="7"/>
      <c r="T113" s="7"/>
      <c r="U113" s="7"/>
      <c r="V113" s="7"/>
      <c r="W113" s="7"/>
      <c r="X113" s="7"/>
      <c r="Y113" s="7"/>
      <c r="Z113" s="7"/>
      <c r="AA113" s="85"/>
      <c r="AB113" s="7"/>
      <c r="AC113" s="7"/>
      <c r="AD113" s="7"/>
      <c r="AE113" s="7"/>
      <c r="AF113" s="7"/>
    </row>
    <row r="114" spans="1:37" s="99" customFormat="1" x14ac:dyDescent="0.2">
      <c r="A114" s="502" t="s">
        <v>237</v>
      </c>
      <c r="B114" s="506">
        <v>20</v>
      </c>
      <c r="D114" s="15"/>
      <c r="E114" s="23"/>
      <c r="F114" s="20"/>
      <c r="G114" s="125"/>
      <c r="H114" s="125"/>
      <c r="AA114" s="85"/>
      <c r="AC114" s="7"/>
      <c r="AD114" s="7"/>
      <c r="AE114" s="7"/>
      <c r="AF114" s="7"/>
      <c r="AG114" s="7"/>
      <c r="AH114" s="7"/>
      <c r="AI114" s="7"/>
      <c r="AJ114" s="7"/>
      <c r="AK114" s="7"/>
    </row>
    <row r="115" spans="1:37" x14ac:dyDescent="0.2">
      <c r="A115" s="502" t="s">
        <v>201</v>
      </c>
      <c r="B115" s="506">
        <v>20</v>
      </c>
      <c r="D115" s="15"/>
      <c r="E115" s="23"/>
      <c r="F115" s="20"/>
      <c r="G115" s="20"/>
      <c r="H115" s="20"/>
    </row>
    <row r="116" spans="1:37" ht="13.5" thickBot="1" x14ac:dyDescent="0.25">
      <c r="A116" s="507" t="s">
        <v>239</v>
      </c>
      <c r="B116" s="508">
        <v>11</v>
      </c>
      <c r="D116" s="15"/>
      <c r="F116" s="125"/>
      <c r="G116" s="20"/>
      <c r="H116" s="20"/>
    </row>
    <row r="117" spans="1:37" ht="13.5" thickBot="1" x14ac:dyDescent="0.25"/>
    <row r="118" spans="1:37" ht="13.5" thickBot="1" x14ac:dyDescent="0.25">
      <c r="A118" s="634" t="s">
        <v>240</v>
      </c>
      <c r="B118" s="635"/>
    </row>
    <row r="119" spans="1:37" x14ac:dyDescent="0.2">
      <c r="A119" s="47" t="s">
        <v>241</v>
      </c>
      <c r="B119" s="48" t="s">
        <v>242</v>
      </c>
      <c r="C119" s="48" t="s">
        <v>242</v>
      </c>
      <c r="D119" s="48" t="s">
        <v>242</v>
      </c>
      <c r="E119" s="48" t="s">
        <v>242</v>
      </c>
      <c r="F119" s="48" t="s">
        <v>242</v>
      </c>
      <c r="G119" s="48" t="s">
        <v>242</v>
      </c>
      <c r="H119" s="48" t="s">
        <v>242</v>
      </c>
      <c r="I119" s="48" t="s">
        <v>242</v>
      </c>
      <c r="J119" s="48" t="s">
        <v>242</v>
      </c>
      <c r="K119" s="48" t="s">
        <v>242</v>
      </c>
      <c r="L119" s="48" t="s">
        <v>242</v>
      </c>
      <c r="M119" s="48" t="s">
        <v>242</v>
      </c>
      <c r="N119" s="48" t="s">
        <v>242</v>
      </c>
      <c r="O119" s="48" t="s">
        <v>242</v>
      </c>
      <c r="P119" s="48" t="s">
        <v>242</v>
      </c>
      <c r="Q119" s="48" t="s">
        <v>242</v>
      </c>
      <c r="R119" s="48" t="s">
        <v>242</v>
      </c>
      <c r="S119" s="48"/>
      <c r="T119" s="48"/>
      <c r="U119" s="48"/>
      <c r="V119" s="48"/>
      <c r="W119" s="48"/>
      <c r="X119" s="48"/>
      <c r="Y119" s="48"/>
      <c r="Z119" s="49" t="s">
        <v>242</v>
      </c>
    </row>
    <row r="120" spans="1:37" ht="13.5" thickBot="1" x14ac:dyDescent="0.25">
      <c r="A120" s="509" t="s">
        <v>243</v>
      </c>
      <c r="B120" s="510"/>
      <c r="C120" s="510"/>
      <c r="D120" s="510"/>
      <c r="E120" s="510"/>
      <c r="F120" s="510"/>
      <c r="G120" s="510"/>
      <c r="H120" s="510"/>
      <c r="I120" s="510"/>
      <c r="J120" s="510"/>
      <c r="K120" s="510"/>
      <c r="L120" s="510"/>
      <c r="M120" s="510"/>
      <c r="N120" s="510"/>
      <c r="O120" s="510"/>
      <c r="P120" s="510"/>
      <c r="Q120" s="510"/>
      <c r="R120" s="510"/>
      <c r="S120" s="510"/>
      <c r="T120" s="510" t="s">
        <v>242</v>
      </c>
      <c r="U120" s="510" t="s">
        <v>242</v>
      </c>
      <c r="V120" s="510" t="s">
        <v>242</v>
      </c>
      <c r="W120" s="510" t="s">
        <v>242</v>
      </c>
      <c r="X120" s="510" t="s">
        <v>242</v>
      </c>
      <c r="Y120" s="510" t="s">
        <v>242</v>
      </c>
      <c r="Z120" s="511"/>
    </row>
    <row r="121" spans="1:37" ht="13.5" thickBot="1" x14ac:dyDescent="0.25"/>
    <row r="122" spans="1:37" ht="13.5" thickBot="1" x14ac:dyDescent="0.25">
      <c r="A122" s="634" t="s">
        <v>244</v>
      </c>
      <c r="B122" s="635"/>
    </row>
    <row r="123" spans="1:37" ht="13.5" thickBot="1" x14ac:dyDescent="0.25">
      <c r="A123" s="70" t="s">
        <v>184</v>
      </c>
      <c r="B123" s="71" t="s">
        <v>105</v>
      </c>
    </row>
    <row r="124" spans="1:37" x14ac:dyDescent="0.2">
      <c r="A124" s="38" t="s">
        <v>185</v>
      </c>
      <c r="B124" s="38">
        <v>14</v>
      </c>
    </row>
    <row r="125" spans="1:37" x14ac:dyDescent="0.2">
      <c r="A125" s="465" t="s">
        <v>186</v>
      </c>
      <c r="B125" s="465">
        <v>10</v>
      </c>
    </row>
    <row r="126" spans="1:37" x14ac:dyDescent="0.2">
      <c r="A126" s="462" t="s">
        <v>187</v>
      </c>
      <c r="B126" s="465">
        <v>8</v>
      </c>
    </row>
    <row r="127" spans="1:37" x14ac:dyDescent="0.2">
      <c r="A127" s="462" t="s">
        <v>188</v>
      </c>
      <c r="B127" s="465">
        <v>4</v>
      </c>
    </row>
    <row r="128" spans="1:37" x14ac:dyDescent="0.2">
      <c r="A128" s="465" t="s">
        <v>189</v>
      </c>
      <c r="B128" s="465">
        <v>11</v>
      </c>
    </row>
    <row r="129" spans="1:10" x14ac:dyDescent="0.2">
      <c r="A129" s="465" t="s">
        <v>190</v>
      </c>
      <c r="B129" s="465">
        <v>7</v>
      </c>
    </row>
    <row r="130" spans="1:10" x14ac:dyDescent="0.2">
      <c r="A130" s="462" t="s">
        <v>191</v>
      </c>
      <c r="B130" s="465">
        <v>18</v>
      </c>
    </row>
    <row r="131" spans="1:10" x14ac:dyDescent="0.2">
      <c r="A131" s="462" t="s">
        <v>192</v>
      </c>
      <c r="B131" s="465">
        <v>14</v>
      </c>
    </row>
    <row r="132" spans="1:10" x14ac:dyDescent="0.2">
      <c r="A132" s="465" t="s">
        <v>193</v>
      </c>
      <c r="B132" s="465">
        <v>11</v>
      </c>
    </row>
    <row r="133" spans="1:10" x14ac:dyDescent="0.2">
      <c r="A133" s="465" t="s">
        <v>194</v>
      </c>
      <c r="B133" s="465">
        <v>7</v>
      </c>
    </row>
    <row r="134" spans="1:10" x14ac:dyDescent="0.2">
      <c r="A134" s="462" t="s">
        <v>195</v>
      </c>
      <c r="B134" s="465">
        <v>16</v>
      </c>
    </row>
    <row r="135" spans="1:10" ht="13.5" thickBot="1" x14ac:dyDescent="0.25">
      <c r="A135" s="512" t="s">
        <v>196</v>
      </c>
      <c r="B135" s="476">
        <v>12</v>
      </c>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6</v>
      </c>
      <c r="C139" s="515">
        <v>6</v>
      </c>
      <c r="D139" s="516">
        <v>5</v>
      </c>
      <c r="E139" s="516">
        <v>4</v>
      </c>
      <c r="F139" s="517">
        <v>3</v>
      </c>
      <c r="G139" s="518">
        <v>0</v>
      </c>
    </row>
    <row r="140" spans="1:10" x14ac:dyDescent="0.2">
      <c r="A140" s="514" t="s">
        <v>252</v>
      </c>
      <c r="B140" s="515">
        <f>$B$139</f>
        <v>6</v>
      </c>
      <c r="C140" s="515">
        <v>4</v>
      </c>
      <c r="D140" s="516">
        <v>3</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79">$B$139</f>
        <v>6</v>
      </c>
      <c r="C142" s="515">
        <f>ROUND(Q39,0)</f>
        <v>1</v>
      </c>
      <c r="D142" s="516"/>
      <c r="E142" s="516"/>
      <c r="F142" s="517"/>
      <c r="G142" s="518">
        <v>0</v>
      </c>
    </row>
    <row r="143" spans="1:10" x14ac:dyDescent="0.2">
      <c r="A143" s="514" t="s">
        <v>260</v>
      </c>
      <c r="B143" s="515">
        <f t="shared" si="79"/>
        <v>6</v>
      </c>
      <c r="C143" s="515">
        <f>ROUND(Q40,0)</f>
        <v>4</v>
      </c>
      <c r="D143" s="516">
        <v>3</v>
      </c>
      <c r="E143" s="516">
        <v>2</v>
      </c>
      <c r="F143" s="517">
        <v>1</v>
      </c>
      <c r="G143" s="518">
        <v>0</v>
      </c>
    </row>
    <row r="144" spans="1:10" x14ac:dyDescent="0.2">
      <c r="A144" s="514" t="s">
        <v>261</v>
      </c>
      <c r="B144" s="515">
        <f t="shared" si="79"/>
        <v>6</v>
      </c>
      <c r="C144" s="515">
        <f>ROUND(Q41,0)</f>
        <v>4</v>
      </c>
      <c r="D144" s="516">
        <v>3</v>
      </c>
      <c r="E144" s="516">
        <v>2</v>
      </c>
      <c r="F144" s="517">
        <v>1</v>
      </c>
      <c r="G144" s="518">
        <v>0</v>
      </c>
    </row>
    <row r="145" spans="1:7" x14ac:dyDescent="0.2">
      <c r="A145" s="531" t="s">
        <v>262</v>
      </c>
      <c r="B145" s="515">
        <f t="shared" si="79"/>
        <v>6</v>
      </c>
      <c r="C145" s="515">
        <f t="shared" ref="C145:C148" si="80">ROUND(Q42,0)</f>
        <v>4</v>
      </c>
      <c r="D145" s="516">
        <v>3</v>
      </c>
      <c r="E145" s="516">
        <v>2</v>
      </c>
      <c r="F145" s="517">
        <v>1</v>
      </c>
      <c r="G145" s="518">
        <v>0</v>
      </c>
    </row>
    <row r="146" spans="1:7" x14ac:dyDescent="0.2">
      <c r="A146" s="514" t="s">
        <v>263</v>
      </c>
      <c r="B146" s="515">
        <f t="shared" si="79"/>
        <v>6</v>
      </c>
      <c r="C146" s="515">
        <f t="shared" si="80"/>
        <v>4</v>
      </c>
      <c r="D146" s="516">
        <v>3</v>
      </c>
      <c r="E146" s="516">
        <v>2</v>
      </c>
      <c r="F146" s="517">
        <v>1</v>
      </c>
      <c r="G146" s="518">
        <v>0</v>
      </c>
    </row>
    <row r="147" spans="1:7" x14ac:dyDescent="0.2">
      <c r="A147" s="514" t="s">
        <v>264</v>
      </c>
      <c r="B147" s="515">
        <f t="shared" si="79"/>
        <v>6</v>
      </c>
      <c r="C147" s="515">
        <f>ROUNDDOWN(Q44,0)</f>
        <v>4</v>
      </c>
      <c r="D147" s="516">
        <v>3</v>
      </c>
      <c r="E147" s="516">
        <v>2</v>
      </c>
      <c r="F147" s="517">
        <v>1</v>
      </c>
      <c r="G147" s="518">
        <v>0</v>
      </c>
    </row>
    <row r="148" spans="1:7" x14ac:dyDescent="0.2">
      <c r="A148" s="514" t="s">
        <v>265</v>
      </c>
      <c r="B148" s="515">
        <f t="shared" si="79"/>
        <v>6</v>
      </c>
      <c r="C148" s="515">
        <f t="shared" si="80"/>
        <v>4</v>
      </c>
      <c r="D148" s="516">
        <v>3</v>
      </c>
      <c r="E148" s="516">
        <v>2</v>
      </c>
      <c r="F148" s="517">
        <v>1</v>
      </c>
      <c r="G148" s="518">
        <v>0</v>
      </c>
    </row>
    <row r="149" spans="1:7" x14ac:dyDescent="0.2">
      <c r="A149" s="514" t="s">
        <v>266</v>
      </c>
      <c r="B149" s="515">
        <f t="shared" si="79"/>
        <v>6</v>
      </c>
      <c r="C149" s="515">
        <f t="shared" ref="C149:G149" si="81">C140</f>
        <v>4</v>
      </c>
      <c r="D149" s="516">
        <f t="shared" si="81"/>
        <v>3</v>
      </c>
      <c r="E149" s="516">
        <f t="shared" si="81"/>
        <v>3</v>
      </c>
      <c r="F149" s="517">
        <f t="shared" si="81"/>
        <v>2</v>
      </c>
      <c r="G149" s="518">
        <f t="shared" si="81"/>
        <v>0</v>
      </c>
    </row>
    <row r="150" spans="1:7" x14ac:dyDescent="0.2">
      <c r="A150" s="519" t="s">
        <v>267</v>
      </c>
      <c r="B150" s="515">
        <f t="shared" si="79"/>
        <v>6</v>
      </c>
      <c r="C150" s="515">
        <f t="shared" ref="C150:G150" si="82">C140</f>
        <v>4</v>
      </c>
      <c r="D150" s="516">
        <f t="shared" si="82"/>
        <v>3</v>
      </c>
      <c r="E150" s="516">
        <f t="shared" si="82"/>
        <v>3</v>
      </c>
      <c r="F150" s="517">
        <f t="shared" si="82"/>
        <v>2</v>
      </c>
      <c r="G150" s="518">
        <f t="shared" si="82"/>
        <v>0</v>
      </c>
    </row>
    <row r="151" spans="1:7" x14ac:dyDescent="0.2">
      <c r="A151" s="513" t="s">
        <v>179</v>
      </c>
      <c r="B151" s="195"/>
      <c r="C151" s="196"/>
      <c r="D151" s="196"/>
      <c r="E151" s="196"/>
      <c r="F151" s="196"/>
      <c r="G151" s="197"/>
    </row>
    <row r="152" spans="1:7" x14ac:dyDescent="0.2">
      <c r="A152" s="514" t="s">
        <v>180</v>
      </c>
      <c r="B152" s="515">
        <f>Q49</f>
        <v>24</v>
      </c>
      <c r="C152" s="515"/>
      <c r="D152" s="516">
        <f>B152-1</f>
        <v>23</v>
      </c>
      <c r="E152" s="516">
        <f>1+F152</f>
        <v>10</v>
      </c>
      <c r="F152" s="517">
        <f>MAX(E49,1)</f>
        <v>9</v>
      </c>
      <c r="G152" s="198">
        <v>0</v>
      </c>
    </row>
    <row r="153" spans="1:7" x14ac:dyDescent="0.2">
      <c r="A153" s="514" t="s">
        <v>148</v>
      </c>
      <c r="B153" s="515">
        <f>B152</f>
        <v>24</v>
      </c>
      <c r="C153" s="515">
        <f>Q50</f>
        <v>20</v>
      </c>
      <c r="D153" s="520">
        <f>C153-1</f>
        <v>19</v>
      </c>
      <c r="E153" s="516">
        <f t="shared" ref="E153:E167" si="83">1+F153</f>
        <v>9</v>
      </c>
      <c r="F153" s="517">
        <f t="shared" ref="F153:F155" si="84">MAX(E50,1)</f>
        <v>8</v>
      </c>
      <c r="G153" s="198">
        <v>0</v>
      </c>
    </row>
    <row r="154" spans="1:7" x14ac:dyDescent="0.2">
      <c r="A154" s="514" t="s">
        <v>182</v>
      </c>
      <c r="B154" s="515">
        <f>Q51</f>
        <v>26</v>
      </c>
      <c r="C154" s="515"/>
      <c r="D154" s="516">
        <f>B154-1</f>
        <v>25</v>
      </c>
      <c r="E154" s="516">
        <f t="shared" si="83"/>
        <v>10</v>
      </c>
      <c r="F154" s="517">
        <f t="shared" si="84"/>
        <v>9</v>
      </c>
      <c r="G154" s="198">
        <v>0</v>
      </c>
    </row>
    <row r="155" spans="1:7" x14ac:dyDescent="0.2">
      <c r="A155" s="514" t="s">
        <v>152</v>
      </c>
      <c r="B155" s="515">
        <f>B154</f>
        <v>26</v>
      </c>
      <c r="C155" s="515">
        <f>Q52</f>
        <v>20</v>
      </c>
      <c r="D155" s="520">
        <f>C155-1</f>
        <v>19</v>
      </c>
      <c r="E155" s="516">
        <f t="shared" si="83"/>
        <v>9</v>
      </c>
      <c r="F155" s="517">
        <f t="shared" si="84"/>
        <v>8</v>
      </c>
      <c r="G155" s="198">
        <v>0</v>
      </c>
    </row>
    <row r="156" spans="1:7" x14ac:dyDescent="0.2">
      <c r="A156" s="514" t="s">
        <v>253</v>
      </c>
      <c r="B156" s="521">
        <f>Q54</f>
        <v>14</v>
      </c>
      <c r="C156" s="515"/>
      <c r="D156" s="516">
        <f>B156-1</f>
        <v>13</v>
      </c>
      <c r="E156" s="516">
        <f t="shared" si="83"/>
        <v>6</v>
      </c>
      <c r="F156" s="517">
        <f>MAX(E54,1)</f>
        <v>5</v>
      </c>
      <c r="G156" s="198">
        <v>0</v>
      </c>
    </row>
    <row r="157" spans="1:7" x14ac:dyDescent="0.2">
      <c r="A157" s="514" t="s">
        <v>186</v>
      </c>
      <c r="B157" s="521">
        <f>B156</f>
        <v>14</v>
      </c>
      <c r="C157" s="515">
        <f>Q55</f>
        <v>10</v>
      </c>
      <c r="D157" s="520">
        <f>C157-1</f>
        <v>9</v>
      </c>
      <c r="E157" s="516">
        <f t="shared" si="83"/>
        <v>5</v>
      </c>
      <c r="F157" s="517">
        <f t="shared" ref="F157:F167" si="85">MAX(E55,1)</f>
        <v>4</v>
      </c>
      <c r="G157" s="198">
        <v>0</v>
      </c>
    </row>
    <row r="158" spans="1:7" x14ac:dyDescent="0.2">
      <c r="A158" s="514" t="s">
        <v>187</v>
      </c>
      <c r="B158" s="521">
        <f>Q56</f>
        <v>8</v>
      </c>
      <c r="C158" s="515"/>
      <c r="D158" s="516">
        <f>B158-1</f>
        <v>7</v>
      </c>
      <c r="E158" s="516">
        <f t="shared" si="83"/>
        <v>2</v>
      </c>
      <c r="F158" s="517">
        <f t="shared" si="85"/>
        <v>1</v>
      </c>
      <c r="G158" s="198">
        <v>0</v>
      </c>
    </row>
    <row r="159" spans="1:7" x14ac:dyDescent="0.2">
      <c r="A159" s="514" t="s">
        <v>188</v>
      </c>
      <c r="B159" s="521">
        <f>B158</f>
        <v>8</v>
      </c>
      <c r="C159" s="515">
        <f>Q57</f>
        <v>4</v>
      </c>
      <c r="D159" s="520">
        <f>C159-1</f>
        <v>3</v>
      </c>
      <c r="E159" s="516">
        <f t="shared" si="83"/>
        <v>2</v>
      </c>
      <c r="F159" s="517">
        <f t="shared" si="85"/>
        <v>1</v>
      </c>
      <c r="G159" s="198">
        <v>0</v>
      </c>
    </row>
    <row r="160" spans="1:7" x14ac:dyDescent="0.2">
      <c r="A160" s="514" t="s">
        <v>189</v>
      </c>
      <c r="B160" s="521">
        <f>Q58</f>
        <v>11</v>
      </c>
      <c r="C160" s="515"/>
      <c r="D160" s="516">
        <f>B160-1</f>
        <v>10</v>
      </c>
      <c r="E160" s="516">
        <f t="shared" si="83"/>
        <v>2</v>
      </c>
      <c r="F160" s="517">
        <f t="shared" si="85"/>
        <v>1</v>
      </c>
      <c r="G160" s="198">
        <v>0</v>
      </c>
    </row>
    <row r="161" spans="1:7" x14ac:dyDescent="0.2">
      <c r="A161" s="514" t="s">
        <v>190</v>
      </c>
      <c r="B161" s="521">
        <f>B160</f>
        <v>11</v>
      </c>
      <c r="C161" s="515">
        <f>Q59</f>
        <v>7</v>
      </c>
      <c r="D161" s="520">
        <f>C161-1</f>
        <v>6</v>
      </c>
      <c r="E161" s="516">
        <f t="shared" si="83"/>
        <v>2</v>
      </c>
      <c r="F161" s="517">
        <f t="shared" si="85"/>
        <v>1</v>
      </c>
      <c r="G161" s="198">
        <v>0</v>
      </c>
    </row>
    <row r="162" spans="1:7" x14ac:dyDescent="0.2">
      <c r="A162" s="514" t="s">
        <v>191</v>
      </c>
      <c r="B162" s="521">
        <f>Q60</f>
        <v>18</v>
      </c>
      <c r="C162" s="515"/>
      <c r="D162" s="516">
        <f>B162-1</f>
        <v>17</v>
      </c>
      <c r="E162" s="516">
        <f t="shared" si="83"/>
        <v>6</v>
      </c>
      <c r="F162" s="517">
        <f t="shared" si="85"/>
        <v>5</v>
      </c>
      <c r="G162" s="198">
        <v>0</v>
      </c>
    </row>
    <row r="163" spans="1:7" x14ac:dyDescent="0.2">
      <c r="A163" s="514" t="s">
        <v>192</v>
      </c>
      <c r="B163" s="521">
        <f>B162</f>
        <v>18</v>
      </c>
      <c r="C163" s="515">
        <f>Q61</f>
        <v>14</v>
      </c>
      <c r="D163" s="520">
        <f>C163-1</f>
        <v>13</v>
      </c>
      <c r="E163" s="516">
        <f t="shared" si="83"/>
        <v>5</v>
      </c>
      <c r="F163" s="517">
        <f t="shared" si="85"/>
        <v>4</v>
      </c>
      <c r="G163" s="198">
        <v>0</v>
      </c>
    </row>
    <row r="164" spans="1:7" x14ac:dyDescent="0.2">
      <c r="A164" s="514" t="s">
        <v>193</v>
      </c>
      <c r="B164" s="521">
        <f>Q62</f>
        <v>11</v>
      </c>
      <c r="C164" s="515"/>
      <c r="D164" s="516">
        <f>B164-1</f>
        <v>10</v>
      </c>
      <c r="E164" s="516">
        <f t="shared" si="83"/>
        <v>6</v>
      </c>
      <c r="F164" s="517">
        <f t="shared" si="85"/>
        <v>5</v>
      </c>
      <c r="G164" s="198">
        <v>0</v>
      </c>
    </row>
    <row r="165" spans="1:7" x14ac:dyDescent="0.2">
      <c r="A165" s="514" t="s">
        <v>194</v>
      </c>
      <c r="B165" s="521">
        <f>B164</f>
        <v>11</v>
      </c>
      <c r="C165" s="515">
        <f>Q63</f>
        <v>7</v>
      </c>
      <c r="D165" s="520">
        <f>C165-1</f>
        <v>6</v>
      </c>
      <c r="E165" s="516">
        <f t="shared" si="83"/>
        <v>5</v>
      </c>
      <c r="F165" s="517">
        <f t="shared" si="85"/>
        <v>4</v>
      </c>
      <c r="G165" s="198">
        <v>0</v>
      </c>
    </row>
    <row r="166" spans="1:7" x14ac:dyDescent="0.2">
      <c r="A166" s="514" t="s">
        <v>195</v>
      </c>
      <c r="B166" s="521">
        <f>Q64</f>
        <v>16</v>
      </c>
      <c r="C166" s="515"/>
      <c r="D166" s="516">
        <f>B166-1</f>
        <v>15</v>
      </c>
      <c r="E166" s="516">
        <f t="shared" si="83"/>
        <v>6</v>
      </c>
      <c r="F166" s="517">
        <f t="shared" si="85"/>
        <v>5</v>
      </c>
      <c r="G166" s="198">
        <v>0</v>
      </c>
    </row>
    <row r="167" spans="1:7" ht="13.5" thickBot="1" x14ac:dyDescent="0.25">
      <c r="A167" s="522" t="s">
        <v>196</v>
      </c>
      <c r="B167" s="523">
        <f>B166</f>
        <v>16</v>
      </c>
      <c r="C167" s="523">
        <f>Q65</f>
        <v>12</v>
      </c>
      <c r="D167" s="524">
        <f>C167-1</f>
        <v>11</v>
      </c>
      <c r="E167" s="524">
        <f t="shared" si="83"/>
        <v>5</v>
      </c>
      <c r="F167" s="525">
        <f t="shared" si="85"/>
        <v>4</v>
      </c>
      <c r="G167" s="526">
        <v>0</v>
      </c>
    </row>
    <row r="170" spans="1:7" x14ac:dyDescent="0.2">
      <c r="A170" s="349" t="s">
        <v>254</v>
      </c>
      <c r="B170" s="349" t="s">
        <v>282</v>
      </c>
    </row>
    <row r="171" spans="1:7" x14ac:dyDescent="0.2">
      <c r="A171" s="527" t="s">
        <v>256</v>
      </c>
      <c r="B171" s="528">
        <f>HLOOKUP($B$170,'EA-18G Mission System Summary'!$B$1:$G$12,2,FALSE)</f>
        <v>0.89527359123637484</v>
      </c>
    </row>
    <row r="172" spans="1:7" x14ac:dyDescent="0.2">
      <c r="A172" s="527" t="str">
        <f t="shared" ref="A172:A180" si="86">A39</f>
        <v>Ready EA-18G Advanced Threat Mission Systems (C)</v>
      </c>
      <c r="B172" s="528">
        <f>HLOOKUP($B$170,'EA-18G Mission System Summary'!$B$1:$G$12,3,FALSE)</f>
        <v>0.15053593775504651</v>
      </c>
    </row>
    <row r="173" spans="1:7" x14ac:dyDescent="0.2">
      <c r="A173" s="527" t="str">
        <f t="shared" si="86"/>
        <v>Ready EA-18G HARM Mission Systems (D)</v>
      </c>
      <c r="B173" s="528">
        <f>HLOOKUP($B$170,'EA-18G Mission System Summary'!$B$1:$G$12,4,FALSE)</f>
        <v>0.83635671146417101</v>
      </c>
    </row>
    <row r="174" spans="1:7" x14ac:dyDescent="0.2">
      <c r="A174" s="527" t="str">
        <f t="shared" si="86"/>
        <v>Ready EA-18G AMRAAM Mission Systems (E)</v>
      </c>
      <c r="B174" s="528">
        <f>HLOOKUP($B$170,'EA-18G Mission System Summary'!$B$1:$G$12,5,FALSE)</f>
        <v>0.84946406224495341</v>
      </c>
    </row>
    <row r="175" spans="1:7" x14ac:dyDescent="0.2">
      <c r="A175" s="527" t="str">
        <f t="shared" si="86"/>
        <v>Ready EA-18G Ready Survivablity Mission System (F)</v>
      </c>
      <c r="B175" s="528">
        <f>HLOOKUP($B$170,'EA-18G Mission System Summary'!$B$1:$G$12,6,FALSE)</f>
        <v>0.83635671146417101</v>
      </c>
    </row>
    <row r="176" spans="1:7" x14ac:dyDescent="0.2">
      <c r="A176" s="527" t="str">
        <f t="shared" si="86"/>
        <v>Ready EA-18G Airborn Electronic Attack (AEA) System (G)</v>
      </c>
      <c r="B176" s="528">
        <f>HLOOKUP($B$170,'EA-18G Mission System Summary'!$B$1:$G$12,7,FALSE)</f>
        <v>0.84946406224495341</v>
      </c>
    </row>
    <row r="177" spans="1:2" x14ac:dyDescent="0.2">
      <c r="A177" s="527" t="str">
        <f t="shared" si="86"/>
        <v>Ready EA-18G Air Refueling System (I)</v>
      </c>
      <c r="B177" s="528">
        <f>HLOOKUP($B$170,'EA-18G Mission System Summary'!$B$1:$G$12,8,FALSE)</f>
        <v>0.15053593775504651</v>
      </c>
    </row>
    <row r="178" spans="1:2" x14ac:dyDescent="0.2">
      <c r="A178" s="527" t="str">
        <f t="shared" si="86"/>
        <v>Ready EA-18G Ready Tactical Navigation Systems (J)</v>
      </c>
      <c r="B178" s="528">
        <f>HLOOKUP($B$170,'EA-18G Mission System Summary'!$B$1:$G$12,9,FALSE)</f>
        <v>0.84946406224495341</v>
      </c>
    </row>
    <row r="179" spans="1:2" x14ac:dyDescent="0.2">
      <c r="A179" s="527" t="str">
        <f t="shared" si="86"/>
        <v>Ready EA-18G Shipboard Mission Systems (K)</v>
      </c>
      <c r="B179" s="528">
        <f>HLOOKUP($B$170,'EA-18G Mission System Summary'!$B$1:$G$12,10,FALSE)</f>
        <v>0.15053593775504651</v>
      </c>
    </row>
    <row r="180" spans="1:2" x14ac:dyDescent="0.2">
      <c r="A180" s="527" t="str">
        <f t="shared" si="86"/>
        <v>Ready EA-18G IMC Flight Mission Systems (L)</v>
      </c>
      <c r="B180" s="528">
        <f>HLOOKUP($B$170,'EA-18G Mission System Summary'!$B$1:$G$12,11,FALSE)</f>
        <v>1</v>
      </c>
    </row>
  </sheetData>
  <mergeCells count="19">
    <mergeCell ref="Q16:V16"/>
    <mergeCell ref="W16:Y16"/>
    <mergeCell ref="M1:P1"/>
    <mergeCell ref="B16:E16"/>
    <mergeCell ref="F16:G16"/>
    <mergeCell ref="H16:J16"/>
    <mergeCell ref="K16:M16"/>
    <mergeCell ref="N16:P16"/>
    <mergeCell ref="AG17:AJ17"/>
    <mergeCell ref="AG28:AH28"/>
    <mergeCell ref="AG38:AH38"/>
    <mergeCell ref="F137:G137"/>
    <mergeCell ref="A103:B103"/>
    <mergeCell ref="A104:B104"/>
    <mergeCell ref="A118:B118"/>
    <mergeCell ref="A122:B122"/>
    <mergeCell ref="B137:C137"/>
    <mergeCell ref="D137:E137"/>
    <mergeCell ref="A93:Z93"/>
  </mergeCells>
  <conditionalFormatting sqref="E152:E167">
    <cfRule type="cellIs" dxfId="173" priority="85" operator="equal">
      <formula>D152</formula>
    </cfRule>
  </conditionalFormatting>
  <conditionalFormatting sqref="C151">
    <cfRule type="cellIs" dxfId="172" priority="138" operator="equal">
      <formula>B151</formula>
    </cfRule>
  </conditionalFormatting>
  <conditionalFormatting sqref="D151:E151">
    <cfRule type="cellIs" dxfId="171" priority="141" operator="equal">
      <formula>C151</formula>
    </cfRule>
  </conditionalFormatting>
  <conditionalFormatting sqref="F151">
    <cfRule type="cellIs" dxfId="170" priority="139" operator="equal">
      <formula>E151</formula>
    </cfRule>
    <cfRule type="cellIs" dxfId="169" priority="140" operator="equal">
      <formula>G151</formula>
    </cfRule>
  </conditionalFormatting>
  <conditionalFormatting sqref="D152:D153">
    <cfRule type="cellIs" dxfId="168" priority="130" operator="equal">
      <formula>C152</formula>
    </cfRule>
  </conditionalFormatting>
  <conditionalFormatting sqref="F152:F167">
    <cfRule type="cellIs" dxfId="167" priority="128" operator="equal">
      <formula>E152</formula>
    </cfRule>
    <cfRule type="cellIs" dxfId="166" priority="129" operator="equal">
      <formula>G152</formula>
    </cfRule>
  </conditionalFormatting>
  <conditionalFormatting sqref="C152 C154 C156 C158 C160">
    <cfRule type="cellIs" dxfId="165" priority="123" operator="equal">
      <formula>B152</formula>
    </cfRule>
  </conditionalFormatting>
  <conditionalFormatting sqref="C162">
    <cfRule type="cellIs" dxfId="164" priority="122" operator="equal">
      <formula>B162</formula>
    </cfRule>
  </conditionalFormatting>
  <conditionalFormatting sqref="C153">
    <cfRule type="cellIs" dxfId="163" priority="84" operator="equal">
      <formula>B153</formula>
    </cfRule>
  </conditionalFormatting>
  <conditionalFormatting sqref="C164 C166">
    <cfRule type="cellIs" dxfId="162" priority="80" operator="equal">
      <formula>B164</formula>
    </cfRule>
  </conditionalFormatting>
  <conditionalFormatting sqref="F139">
    <cfRule type="cellIs" dxfId="161" priority="70" operator="equal">
      <formula>E139</formula>
    </cfRule>
  </conditionalFormatting>
  <conditionalFormatting sqref="F139">
    <cfRule type="cellIs" dxfId="160" priority="68" operator="equal">
      <formula>E139</formula>
    </cfRule>
  </conditionalFormatting>
  <conditionalFormatting sqref="F139">
    <cfRule type="cellIs" dxfId="159" priority="67" operator="equal">
      <formula>E139</formula>
    </cfRule>
  </conditionalFormatting>
  <conditionalFormatting sqref="D139">
    <cfRule type="cellIs" dxfId="158" priority="66" operator="equal">
      <formula>C139</formula>
    </cfRule>
  </conditionalFormatting>
  <conditionalFormatting sqref="E139">
    <cfRule type="cellIs" dxfId="157" priority="71" operator="equal">
      <formula>D139</formula>
    </cfRule>
  </conditionalFormatting>
  <conditionalFormatting sqref="F140:F141">
    <cfRule type="cellIs" dxfId="156" priority="65" operator="equal">
      <formula>E140</formula>
    </cfRule>
    <cfRule type="cellIs" dxfId="155" priority="69" operator="equal">
      <formula>G140</formula>
    </cfRule>
  </conditionalFormatting>
  <conditionalFormatting sqref="D139">
    <cfRule type="cellIs" dxfId="154" priority="72" operator="equal">
      <formula>C139</formula>
    </cfRule>
  </conditionalFormatting>
  <conditionalFormatting sqref="C139">
    <cfRule type="cellIs" dxfId="153" priority="64" operator="equal">
      <formula>B139</formula>
    </cfRule>
  </conditionalFormatting>
  <conditionalFormatting sqref="C140">
    <cfRule type="cellIs" dxfId="152" priority="63" operator="equal">
      <formula>B140</formula>
    </cfRule>
  </conditionalFormatting>
  <conditionalFormatting sqref="E140">
    <cfRule type="cellIs" dxfId="151" priority="62" operator="equal">
      <formula>D140</formula>
    </cfRule>
  </conditionalFormatting>
  <conditionalFormatting sqref="C155">
    <cfRule type="cellIs" dxfId="150" priority="37" operator="equal">
      <formula>B155</formula>
    </cfRule>
  </conditionalFormatting>
  <conditionalFormatting sqref="C157">
    <cfRule type="cellIs" dxfId="149" priority="36" operator="equal">
      <formula>B157</formula>
    </cfRule>
  </conditionalFormatting>
  <conditionalFormatting sqref="C159">
    <cfRule type="cellIs" dxfId="148" priority="35" operator="equal">
      <formula>B159</formula>
    </cfRule>
  </conditionalFormatting>
  <conditionalFormatting sqref="C161">
    <cfRule type="cellIs" dxfId="147" priority="34" operator="equal">
      <formula>B161</formula>
    </cfRule>
  </conditionalFormatting>
  <conditionalFormatting sqref="C163">
    <cfRule type="cellIs" dxfId="146" priority="33" operator="equal">
      <formula>B163</formula>
    </cfRule>
  </conditionalFormatting>
  <conditionalFormatting sqref="C165">
    <cfRule type="cellIs" dxfId="145" priority="32" operator="equal">
      <formula>B165</formula>
    </cfRule>
  </conditionalFormatting>
  <conditionalFormatting sqref="C167">
    <cfRule type="cellIs" dxfId="144" priority="31" operator="equal">
      <formula>B167</formula>
    </cfRule>
  </conditionalFormatting>
  <conditionalFormatting sqref="D154:D155">
    <cfRule type="cellIs" dxfId="143" priority="28" operator="equal">
      <formula>C154</formula>
    </cfRule>
  </conditionalFormatting>
  <conditionalFormatting sqref="D156:D157">
    <cfRule type="cellIs" dxfId="142" priority="27" operator="equal">
      <formula>C156</formula>
    </cfRule>
  </conditionalFormatting>
  <conditionalFormatting sqref="D158:D159">
    <cfRule type="cellIs" dxfId="141" priority="26" operator="equal">
      <formula>C158</formula>
    </cfRule>
  </conditionalFormatting>
  <conditionalFormatting sqref="D160:D161">
    <cfRule type="cellIs" dxfId="140" priority="25" operator="equal">
      <formula>C160</formula>
    </cfRule>
  </conditionalFormatting>
  <conditionalFormatting sqref="D162:D163">
    <cfRule type="cellIs" dxfId="139" priority="24" operator="equal">
      <formula>C162</formula>
    </cfRule>
  </conditionalFormatting>
  <conditionalFormatting sqref="D164:D165">
    <cfRule type="cellIs" dxfId="138" priority="23" operator="equal">
      <formula>C164</formula>
    </cfRule>
  </conditionalFormatting>
  <conditionalFormatting sqref="D166:D167">
    <cfRule type="cellIs" dxfId="137" priority="22" operator="equal">
      <formula>C166</formula>
    </cfRule>
  </conditionalFormatting>
  <conditionalFormatting sqref="B124:B135 B66:Z67">
    <cfRule type="cellIs" dxfId="136" priority="74" operator="notEqual">
      <formula>#REF!</formula>
    </cfRule>
  </conditionalFormatting>
  <conditionalFormatting sqref="C143:C148">
    <cfRule type="cellIs" dxfId="135" priority="16" operator="equal">
      <formula>B143</formula>
    </cfRule>
  </conditionalFormatting>
  <conditionalFormatting sqref="E149:E150">
    <cfRule type="cellIs" dxfId="134" priority="8" operator="equal">
      <formula>D149</formula>
    </cfRule>
  </conditionalFormatting>
  <conditionalFormatting sqref="F142">
    <cfRule type="cellIs" dxfId="133" priority="19" operator="equal">
      <formula>E142</formula>
    </cfRule>
  </conditionalFormatting>
  <conditionalFormatting sqref="C142">
    <cfRule type="cellIs" dxfId="132" priority="18" operator="equal">
      <formula>B142</formula>
    </cfRule>
  </conditionalFormatting>
  <conditionalFormatting sqref="E142">
    <cfRule type="cellIs" dxfId="131" priority="17" operator="equal">
      <formula>D142</formula>
    </cfRule>
  </conditionalFormatting>
  <conditionalFormatting sqref="E143">
    <cfRule type="cellIs" dxfId="130" priority="15" operator="equal">
      <formula>D143</formula>
    </cfRule>
  </conditionalFormatting>
  <conditionalFormatting sqref="E144">
    <cfRule type="cellIs" dxfId="129" priority="14" operator="equal">
      <formula>D144</formula>
    </cfRule>
  </conditionalFormatting>
  <conditionalFormatting sqref="E145">
    <cfRule type="cellIs" dxfId="128" priority="13" operator="equal">
      <formula>D145</formula>
    </cfRule>
  </conditionalFormatting>
  <conditionalFormatting sqref="E146">
    <cfRule type="cellIs" dxfId="127" priority="12" operator="equal">
      <formula>D146</formula>
    </cfRule>
  </conditionalFormatting>
  <conditionalFormatting sqref="E147">
    <cfRule type="cellIs" dxfId="126" priority="11" operator="equal">
      <formula>D147</formula>
    </cfRule>
  </conditionalFormatting>
  <conditionalFormatting sqref="E148">
    <cfRule type="cellIs" dxfId="125" priority="10" operator="equal">
      <formula>D148</formula>
    </cfRule>
  </conditionalFormatting>
  <conditionalFormatting sqref="C149:C150">
    <cfRule type="cellIs" dxfId="124" priority="9" operator="equal">
      <formula>B149</formula>
    </cfRule>
  </conditionalFormatting>
  <conditionalFormatting sqref="F143">
    <cfRule type="cellIs" dxfId="123" priority="7" operator="equal">
      <formula>E143</formula>
    </cfRule>
  </conditionalFormatting>
  <conditionalFormatting sqref="F144">
    <cfRule type="cellIs" dxfId="122" priority="6" operator="equal">
      <formula>E144</formula>
    </cfRule>
  </conditionalFormatting>
  <conditionalFormatting sqref="F145">
    <cfRule type="cellIs" dxfId="121" priority="5" operator="equal">
      <formula>E145</formula>
    </cfRule>
  </conditionalFormatting>
  <conditionalFormatting sqref="F146">
    <cfRule type="cellIs" dxfId="120" priority="4" operator="equal">
      <formula>E146</formula>
    </cfRule>
  </conditionalFormatting>
  <conditionalFormatting sqref="F147">
    <cfRule type="cellIs" dxfId="119" priority="3" operator="equal">
      <formula>E147</formula>
    </cfRule>
  </conditionalFormatting>
  <conditionalFormatting sqref="F148">
    <cfRule type="cellIs" dxfId="118" priority="2" operator="equal">
      <formula>E148</formula>
    </cfRule>
  </conditionalFormatting>
  <conditionalFormatting sqref="F149:F150">
    <cfRule type="cellIs" dxfId="117" priority="1" operator="equal">
      <formula>E149</formula>
    </cfRule>
  </conditionalFormatting>
  <dataValidations disablePrompts="1" count="1">
    <dataValidation type="list" allowBlank="1" showInputMessage="1" showErrorMessage="1" sqref="AH20" xr:uid="{00000000-0002-0000-0600-000000000000}">
      <formula1>$B$14:$Y$14</formula1>
    </dataValidation>
  </dataValidations>
  <hyperlinks>
    <hyperlink ref="J137" location="Inventory!A1" display="Inventory" xr:uid="{00000000-0004-0000-0600-000000000000}"/>
    <hyperlink ref="J138" location="'VAQ (6 EA-18G) EXPED'!A1" display="Top" xr:uid="{00000000-0004-0000-0600-000001000000}"/>
    <hyperlink ref="H1" location="Inventory!A1" display="Inventory" xr:uid="{00000000-0004-0000-0600-000002000000}"/>
    <hyperlink ref="H2" location="'VAQ (6 EA-18G) EXPED'!A167" display="AMFOM" xr:uid="{00000000-0004-0000-0600-000003000000}"/>
  </hyperlinks>
  <printOptions horizontalCentered="1" verticalCentered="1"/>
  <pageMargins left="0.5" right="0.25" top="0.5" bottom="0.5" header="0.5" footer="0.5"/>
  <pageSetup scale="2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0"/>
  <sheetViews>
    <sheetView showGridLines="0" topLeftCell="A105" zoomScaleSheetLayoutView="40" workbookViewId="0">
      <selection activeCell="A172" sqref="A172"/>
    </sheetView>
  </sheetViews>
  <sheetFormatPr defaultColWidth="8.85546875" defaultRowHeight="12.75" x14ac:dyDescent="0.2"/>
  <cols>
    <col min="1" max="1" width="45.85546875" style="7" customWidth="1"/>
    <col min="2" max="25" width="5.7109375" style="7" customWidth="1"/>
    <col min="26" max="26" width="5.7109375" style="85" customWidth="1"/>
    <col min="27" max="29" width="5.7109375" style="7" customWidth="1"/>
    <col min="30" max="30" width="6.28515625" style="7" bestFit="1" customWidth="1"/>
    <col min="31" max="31" width="5.7109375" style="7" customWidth="1"/>
    <col min="32" max="37" width="20.7109375" style="7" customWidth="1"/>
    <col min="38" max="16384" width="8.85546875" style="7"/>
  </cols>
  <sheetData>
    <row r="1" spans="1:36" s="1" customFormat="1" ht="18.75" x14ac:dyDescent="0.3">
      <c r="A1" s="166" t="s">
        <v>283</v>
      </c>
      <c r="B1" s="166"/>
      <c r="C1" s="166"/>
      <c r="D1" s="166"/>
      <c r="E1" s="166"/>
      <c r="F1" s="166"/>
      <c r="G1" s="26"/>
      <c r="H1" s="80" t="s">
        <v>63</v>
      </c>
      <c r="K1" s="83"/>
      <c r="L1" s="167" t="s">
        <v>2</v>
      </c>
      <c r="M1" s="648">
        <v>44835</v>
      </c>
      <c r="N1" s="649"/>
      <c r="O1" s="650"/>
      <c r="P1" s="650"/>
      <c r="Z1" s="85"/>
      <c r="AC1" s="312" t="s">
        <v>64</v>
      </c>
      <c r="AD1" s="313">
        <v>5.0599999999999996</v>
      </c>
    </row>
    <row r="2" spans="1:36" s="3" customFormat="1" x14ac:dyDescent="0.2">
      <c r="A2" s="40" t="s">
        <v>65</v>
      </c>
      <c r="B2" s="168">
        <v>5</v>
      </c>
      <c r="C2" s="39"/>
      <c r="D2" s="39"/>
      <c r="E2" s="39"/>
      <c r="F2" s="39"/>
      <c r="H2" s="342" t="s">
        <v>3</v>
      </c>
      <c r="N2" s="4"/>
      <c r="O2" s="4"/>
      <c r="P2" s="4"/>
      <c r="Q2" s="4"/>
      <c r="R2" s="4"/>
      <c r="S2" s="4"/>
      <c r="T2" s="4"/>
      <c r="U2" s="4"/>
      <c r="V2" s="4"/>
      <c r="W2" s="2"/>
      <c r="X2" s="2"/>
      <c r="Y2" s="2"/>
      <c r="Z2" s="86"/>
    </row>
    <row r="3" spans="1:36" s="3" customFormat="1" ht="11.25" x14ac:dyDescent="0.2">
      <c r="A3" s="40" t="s">
        <v>66</v>
      </c>
      <c r="B3" s="169">
        <f>B4/B2</f>
        <v>2.6</v>
      </c>
      <c r="C3" s="39"/>
      <c r="D3" s="39"/>
      <c r="E3" s="39"/>
      <c r="F3" s="39"/>
      <c r="I3" s="2"/>
      <c r="J3" s="2"/>
      <c r="K3" s="2"/>
      <c r="N3" s="4"/>
      <c r="O3" s="4"/>
      <c r="P3" s="4"/>
      <c r="Q3" s="4"/>
      <c r="R3" s="4"/>
      <c r="S3" s="4"/>
      <c r="T3" s="4"/>
      <c r="U3" s="4"/>
      <c r="V3" s="4"/>
      <c r="W3" s="2"/>
      <c r="X3" s="2"/>
      <c r="Y3" s="2"/>
      <c r="Z3" s="86"/>
    </row>
    <row r="4" spans="1:36" s="3" customFormat="1" ht="11.25" x14ac:dyDescent="0.2">
      <c r="A4" s="40" t="s">
        <v>67</v>
      </c>
      <c r="B4" s="170">
        <v>13</v>
      </c>
      <c r="C4" s="39"/>
      <c r="D4" s="39"/>
      <c r="E4" s="39"/>
      <c r="F4" s="39"/>
      <c r="G4" s="2"/>
      <c r="H4" s="2"/>
      <c r="I4" s="2"/>
      <c r="J4" s="2"/>
      <c r="K4" s="2"/>
      <c r="N4" s="4"/>
      <c r="O4" s="4"/>
      <c r="P4" s="4"/>
      <c r="Q4" s="4"/>
      <c r="R4" s="4"/>
      <c r="S4" s="4"/>
      <c r="T4" s="4"/>
      <c r="U4" s="4"/>
      <c r="V4" s="4"/>
      <c r="W4" s="2"/>
      <c r="X4" s="2"/>
      <c r="Y4" s="2"/>
      <c r="Z4" s="86"/>
    </row>
    <row r="5" spans="1:36" s="3" customFormat="1" ht="11.25" x14ac:dyDescent="0.2">
      <c r="A5" s="40" t="s">
        <v>68</v>
      </c>
      <c r="B5" s="39">
        <v>1.5</v>
      </c>
      <c r="C5" s="171"/>
      <c r="D5" s="39"/>
      <c r="E5" s="39"/>
      <c r="F5" s="39"/>
      <c r="G5" s="2"/>
      <c r="H5" s="2"/>
      <c r="I5" s="2"/>
      <c r="J5" s="2"/>
      <c r="K5" s="2"/>
      <c r="N5" s="4"/>
      <c r="O5" s="4"/>
      <c r="P5" s="4"/>
      <c r="Q5" s="4"/>
      <c r="R5" s="4"/>
      <c r="S5" s="4"/>
      <c r="T5" s="4"/>
      <c r="U5" s="4"/>
      <c r="V5" s="4"/>
      <c r="W5" s="2"/>
      <c r="X5" s="2"/>
      <c r="Y5" s="2"/>
      <c r="Z5" s="86"/>
    </row>
    <row r="6" spans="1:36" s="3" customFormat="1" ht="11.25" x14ac:dyDescent="0.2">
      <c r="A6" s="172" t="s">
        <v>69</v>
      </c>
      <c r="B6" s="39">
        <v>14.5</v>
      </c>
      <c r="C6" s="171"/>
      <c r="D6" s="39"/>
      <c r="E6" s="39"/>
      <c r="F6" s="39"/>
      <c r="G6" s="2"/>
      <c r="H6" s="2"/>
      <c r="I6" s="2"/>
      <c r="J6" s="2"/>
      <c r="K6" s="2"/>
      <c r="L6" s="4"/>
      <c r="M6" s="4"/>
      <c r="N6" s="4"/>
      <c r="O6" s="4"/>
      <c r="P6" s="4"/>
      <c r="Q6" s="4"/>
      <c r="R6" s="4"/>
      <c r="S6" s="4"/>
      <c r="T6" s="4"/>
      <c r="U6" s="4"/>
      <c r="V6" s="4"/>
      <c r="W6" s="2"/>
      <c r="X6" s="2"/>
      <c r="Y6" s="2"/>
      <c r="Z6" s="86"/>
      <c r="AA6" s="59"/>
    </row>
    <row r="7" spans="1:36" s="3" customFormat="1" ht="11.25" x14ac:dyDescent="0.2">
      <c r="A7" s="40" t="s">
        <v>70</v>
      </c>
      <c r="B7" s="39">
        <f>B6*B4</f>
        <v>188.5</v>
      </c>
      <c r="C7" s="41"/>
      <c r="D7" s="41"/>
      <c r="E7" s="39"/>
      <c r="F7" s="39"/>
      <c r="G7" s="2"/>
      <c r="H7" s="2"/>
      <c r="I7" s="2"/>
      <c r="J7" s="2"/>
      <c r="K7" s="2"/>
      <c r="L7" s="2"/>
      <c r="M7" s="2"/>
      <c r="N7" s="2"/>
      <c r="O7" s="2"/>
      <c r="P7" s="2"/>
      <c r="Q7" s="2"/>
      <c r="R7" s="2"/>
      <c r="S7" s="2"/>
      <c r="T7" s="2"/>
      <c r="U7" s="2"/>
      <c r="V7" s="2"/>
      <c r="W7" s="2"/>
      <c r="X7" s="2"/>
      <c r="Y7" s="2"/>
      <c r="Z7" s="86"/>
    </row>
    <row r="8" spans="1:36" s="3" customFormat="1" ht="11.25" x14ac:dyDescent="0.2">
      <c r="A8" s="40" t="s">
        <v>71</v>
      </c>
      <c r="B8" s="168">
        <f>B7/B5</f>
        <v>125.66666666666667</v>
      </c>
      <c r="C8" s="39"/>
      <c r="D8" s="41"/>
      <c r="E8" s="39"/>
      <c r="F8" s="39"/>
      <c r="G8" s="2"/>
      <c r="H8" s="2"/>
      <c r="I8" s="2"/>
      <c r="J8" s="2"/>
      <c r="K8" s="2"/>
      <c r="L8" s="2"/>
      <c r="M8" s="2"/>
      <c r="N8" s="2"/>
      <c r="O8" s="2"/>
      <c r="P8" s="2"/>
      <c r="Q8" s="2"/>
      <c r="R8" s="2"/>
      <c r="S8" s="2"/>
      <c r="T8" s="2"/>
      <c r="U8" s="2"/>
      <c r="V8" s="2"/>
      <c r="W8" s="2"/>
      <c r="X8" s="2"/>
      <c r="Y8" s="2"/>
      <c r="Z8" s="86"/>
    </row>
    <row r="9" spans="1:36" s="3" customFormat="1" ht="11.25" x14ac:dyDescent="0.2">
      <c r="A9" s="40" t="s">
        <v>72</v>
      </c>
      <c r="B9" s="168">
        <f>B4*C9</f>
        <v>13</v>
      </c>
      <c r="C9" s="39">
        <v>1</v>
      </c>
      <c r="D9" s="150" t="s">
        <v>73</v>
      </c>
      <c r="E9" s="39"/>
      <c r="F9" s="2"/>
      <c r="G9" s="56" t="s">
        <v>74</v>
      </c>
      <c r="H9" s="57">
        <v>0.4</v>
      </c>
      <c r="I9" s="2"/>
      <c r="J9" s="2"/>
      <c r="K9" s="2"/>
      <c r="L9" s="2"/>
      <c r="M9" s="2"/>
      <c r="N9" s="2"/>
      <c r="O9" s="2"/>
      <c r="P9" s="2"/>
      <c r="Q9" s="2"/>
      <c r="R9" s="2"/>
      <c r="S9" s="2"/>
      <c r="T9" s="2"/>
      <c r="U9" s="2"/>
      <c r="V9" s="2"/>
      <c r="W9" s="2"/>
      <c r="X9" s="2"/>
      <c r="Y9" s="2"/>
      <c r="Z9" s="86"/>
    </row>
    <row r="10" spans="1:36" s="3" customFormat="1" ht="11.25" x14ac:dyDescent="0.2">
      <c r="A10" s="40" t="s">
        <v>75</v>
      </c>
      <c r="B10" s="168">
        <f>B4*C10</f>
        <v>35.1</v>
      </c>
      <c r="C10" s="39">
        <v>2.7</v>
      </c>
      <c r="D10" s="150" t="s">
        <v>73</v>
      </c>
      <c r="E10" s="39"/>
      <c r="F10" s="2"/>
      <c r="G10" s="58" t="s">
        <v>76</v>
      </c>
      <c r="H10" s="57">
        <v>0.28699999999999998</v>
      </c>
      <c r="I10" s="2"/>
      <c r="J10" s="2"/>
      <c r="K10" s="2"/>
      <c r="L10" s="2"/>
      <c r="M10" s="2"/>
      <c r="N10" s="2"/>
      <c r="O10" s="2"/>
      <c r="P10" s="2"/>
      <c r="Q10" s="2"/>
      <c r="R10" s="2"/>
      <c r="S10" s="2"/>
      <c r="T10" s="2"/>
      <c r="U10" s="2"/>
      <c r="V10" s="2"/>
      <c r="W10" s="2"/>
      <c r="X10" s="2"/>
      <c r="Y10" s="2"/>
      <c r="Z10" s="86"/>
    </row>
    <row r="11" spans="1:36" s="3" customFormat="1" ht="11.25" x14ac:dyDescent="0.2">
      <c r="A11" s="149" t="s">
        <v>77</v>
      </c>
      <c r="B11" s="122">
        <f>C11*B4</f>
        <v>13</v>
      </c>
      <c r="C11" s="4">
        <v>1</v>
      </c>
      <c r="D11" s="150" t="s">
        <v>73</v>
      </c>
      <c r="E11" s="39"/>
      <c r="F11" s="2"/>
      <c r="G11" s="58"/>
      <c r="H11" s="57"/>
      <c r="I11" s="2"/>
      <c r="J11" s="2"/>
      <c r="K11" s="2"/>
      <c r="L11" s="2"/>
      <c r="M11" s="2"/>
      <c r="N11" s="2"/>
      <c r="O11" s="2"/>
      <c r="P11" s="2"/>
      <c r="Q11" s="2"/>
      <c r="R11" s="2"/>
      <c r="S11" s="2"/>
      <c r="T11" s="2"/>
      <c r="U11" s="2"/>
      <c r="V11" s="2"/>
      <c r="W11" s="2"/>
      <c r="X11" s="2"/>
      <c r="Y11" s="2"/>
      <c r="Z11" s="86"/>
    </row>
    <row r="12" spans="1:36" s="3" customFormat="1" ht="11.25" x14ac:dyDescent="0.2">
      <c r="A12" s="40"/>
      <c r="B12" s="41"/>
      <c r="C12" s="39"/>
      <c r="D12" s="41"/>
      <c r="E12" s="39"/>
      <c r="F12" s="39"/>
      <c r="G12" s="2"/>
      <c r="H12" s="2"/>
      <c r="I12" s="2"/>
      <c r="J12" s="2"/>
      <c r="K12" s="2"/>
      <c r="L12" s="2"/>
      <c r="M12" s="2"/>
      <c r="N12" s="2"/>
      <c r="O12" s="2"/>
      <c r="P12" s="2"/>
      <c r="Q12" s="2"/>
      <c r="R12" s="2"/>
      <c r="S12" s="2"/>
      <c r="T12" s="2"/>
      <c r="U12" s="2"/>
      <c r="V12" s="2"/>
      <c r="W12" s="2"/>
      <c r="X12" s="2"/>
      <c r="Y12" s="2"/>
      <c r="Z12" s="86"/>
    </row>
    <row r="13" spans="1:36" s="5" customFormat="1" ht="59.25" x14ac:dyDescent="0.4">
      <c r="A13" s="532" t="s">
        <v>79</v>
      </c>
      <c r="B13" s="414" t="s">
        <v>80</v>
      </c>
      <c r="C13" s="414" t="s">
        <v>80</v>
      </c>
      <c r="D13" s="414" t="s">
        <v>80</v>
      </c>
      <c r="E13" s="414" t="s">
        <v>81</v>
      </c>
      <c r="F13" s="414" t="s">
        <v>81</v>
      </c>
      <c r="G13" s="414" t="s">
        <v>81</v>
      </c>
      <c r="H13" s="414" t="s">
        <v>81</v>
      </c>
      <c r="I13" s="414" t="s">
        <v>81</v>
      </c>
      <c r="J13" s="414" t="s">
        <v>81</v>
      </c>
      <c r="K13" s="414" t="s">
        <v>81</v>
      </c>
      <c r="L13" s="414" t="s">
        <v>81</v>
      </c>
      <c r="M13" s="414" t="s">
        <v>81</v>
      </c>
      <c r="N13" s="414" t="s">
        <v>82</v>
      </c>
      <c r="O13" s="414" t="s">
        <v>83</v>
      </c>
      <c r="P13" s="414" t="s">
        <v>83</v>
      </c>
      <c r="Q13" s="414" t="s">
        <v>84</v>
      </c>
      <c r="R13" s="414" t="s">
        <v>84</v>
      </c>
      <c r="S13" s="414" t="s">
        <v>84</v>
      </c>
      <c r="T13" s="414" t="s">
        <v>85</v>
      </c>
      <c r="U13" s="414" t="s">
        <v>85</v>
      </c>
      <c r="V13" s="414" t="s">
        <v>85</v>
      </c>
      <c r="W13" s="414" t="s">
        <v>84</v>
      </c>
      <c r="X13" s="561" t="s">
        <v>84</v>
      </c>
      <c r="Y13" s="416" t="s">
        <v>86</v>
      </c>
      <c r="Z13" s="85"/>
      <c r="AF13" s="87"/>
      <c r="AG13" s="88" t="s">
        <v>87</v>
      </c>
      <c r="AH13" s="89"/>
      <c r="AI13" s="89"/>
      <c r="AJ13" s="89"/>
    </row>
    <row r="14" spans="1:36" s="6" customFormat="1" ht="12" x14ac:dyDescent="0.2">
      <c r="A14" s="532" t="s">
        <v>88</v>
      </c>
      <c r="B14" s="534" t="s">
        <v>89</v>
      </c>
      <c r="C14" s="534" t="s">
        <v>90</v>
      </c>
      <c r="D14" s="534" t="s">
        <v>91</v>
      </c>
      <c r="E14" s="534" t="s">
        <v>92</v>
      </c>
      <c r="F14" s="534" t="s">
        <v>93</v>
      </c>
      <c r="G14" s="534" t="s">
        <v>94</v>
      </c>
      <c r="H14" s="534" t="s">
        <v>95</v>
      </c>
      <c r="I14" s="534" t="s">
        <v>96</v>
      </c>
      <c r="J14" s="534" t="s">
        <v>97</v>
      </c>
      <c r="K14" s="534" t="s">
        <v>98</v>
      </c>
      <c r="L14" s="534" t="s">
        <v>99</v>
      </c>
      <c r="M14" s="534" t="s">
        <v>100</v>
      </c>
      <c r="N14" s="534" t="s">
        <v>101</v>
      </c>
      <c r="O14" s="534" t="s">
        <v>102</v>
      </c>
      <c r="P14" s="534" t="s">
        <v>103</v>
      </c>
      <c r="Q14" s="534" t="s">
        <v>284</v>
      </c>
      <c r="R14" s="534" t="s">
        <v>285</v>
      </c>
      <c r="S14" s="534" t="s">
        <v>104</v>
      </c>
      <c r="T14" s="417" t="s">
        <v>105</v>
      </c>
      <c r="U14" s="417" t="s">
        <v>106</v>
      </c>
      <c r="V14" s="417" t="s">
        <v>107</v>
      </c>
      <c r="W14" s="534" t="s">
        <v>111</v>
      </c>
      <c r="X14" s="389" t="s">
        <v>112</v>
      </c>
      <c r="Y14" s="417" t="s">
        <v>116</v>
      </c>
      <c r="Z14" s="90">
        <v>1</v>
      </c>
      <c r="AF14" s="87"/>
      <c r="AG14" s="91"/>
      <c r="AH14" s="91"/>
      <c r="AI14" s="91"/>
      <c r="AJ14" s="91"/>
    </row>
    <row r="15" spans="1:36" s="6" customFormat="1" ht="12" x14ac:dyDescent="0.2">
      <c r="A15" s="532" t="s">
        <v>117</v>
      </c>
      <c r="B15" s="562">
        <v>1</v>
      </c>
      <c r="C15" s="562">
        <f t="shared" ref="C15:X15" si="0">B15+1</f>
        <v>2</v>
      </c>
      <c r="D15" s="562">
        <f t="shared" si="0"/>
        <v>3</v>
      </c>
      <c r="E15" s="535">
        <f t="shared" si="0"/>
        <v>4</v>
      </c>
      <c r="F15" s="535">
        <f t="shared" si="0"/>
        <v>5</v>
      </c>
      <c r="G15" s="535">
        <f t="shared" si="0"/>
        <v>6</v>
      </c>
      <c r="H15" s="535">
        <f t="shared" si="0"/>
        <v>7</v>
      </c>
      <c r="I15" s="535">
        <f t="shared" si="0"/>
        <v>8</v>
      </c>
      <c r="J15" s="535">
        <f t="shared" si="0"/>
        <v>9</v>
      </c>
      <c r="K15" s="535">
        <f t="shared" si="0"/>
        <v>10</v>
      </c>
      <c r="L15" s="535">
        <f t="shared" si="0"/>
        <v>11</v>
      </c>
      <c r="M15" s="535">
        <f t="shared" si="0"/>
        <v>12</v>
      </c>
      <c r="N15" s="535">
        <f t="shared" si="0"/>
        <v>13</v>
      </c>
      <c r="O15" s="535">
        <f t="shared" si="0"/>
        <v>14</v>
      </c>
      <c r="P15" s="535">
        <f t="shared" si="0"/>
        <v>15</v>
      </c>
      <c r="Q15" s="562">
        <f t="shared" si="0"/>
        <v>16</v>
      </c>
      <c r="R15" s="562">
        <f t="shared" si="0"/>
        <v>17</v>
      </c>
      <c r="S15" s="562">
        <f t="shared" si="0"/>
        <v>18</v>
      </c>
      <c r="T15" s="562">
        <f t="shared" si="0"/>
        <v>19</v>
      </c>
      <c r="U15" s="562">
        <f t="shared" si="0"/>
        <v>20</v>
      </c>
      <c r="V15" s="562">
        <f t="shared" si="0"/>
        <v>21</v>
      </c>
      <c r="W15" s="562">
        <f t="shared" si="0"/>
        <v>22</v>
      </c>
      <c r="X15" s="563">
        <f t="shared" si="0"/>
        <v>23</v>
      </c>
      <c r="Y15" s="417">
        <v>28</v>
      </c>
      <c r="Z15" s="92">
        <v>2</v>
      </c>
      <c r="AF15" s="87"/>
      <c r="AG15" s="91"/>
      <c r="AH15" s="91"/>
      <c r="AI15" s="91"/>
      <c r="AJ15" s="91"/>
    </row>
    <row r="16" spans="1:36" ht="12" x14ac:dyDescent="0.2">
      <c r="A16" s="532" t="s">
        <v>118</v>
      </c>
      <c r="B16" s="660" t="s">
        <v>286</v>
      </c>
      <c r="C16" s="661"/>
      <c r="D16" s="662"/>
      <c r="E16" s="563" t="s">
        <v>287</v>
      </c>
      <c r="F16" s="564" t="s">
        <v>288</v>
      </c>
      <c r="G16" s="665" t="s">
        <v>287</v>
      </c>
      <c r="H16" s="662"/>
      <c r="I16" s="564" t="s">
        <v>288</v>
      </c>
      <c r="J16" s="665" t="s">
        <v>287</v>
      </c>
      <c r="K16" s="662"/>
      <c r="L16" s="564" t="s">
        <v>288</v>
      </c>
      <c r="M16" s="565" t="s">
        <v>287</v>
      </c>
      <c r="N16" s="660" t="s">
        <v>289</v>
      </c>
      <c r="O16" s="663"/>
      <c r="P16" s="662"/>
      <c r="Q16" s="660" t="s">
        <v>84</v>
      </c>
      <c r="R16" s="661"/>
      <c r="S16" s="662"/>
      <c r="T16" s="663" t="s">
        <v>123</v>
      </c>
      <c r="U16" s="661"/>
      <c r="V16" s="662"/>
      <c r="W16" s="664" t="s">
        <v>84</v>
      </c>
      <c r="X16" s="660"/>
      <c r="Y16" s="417" t="s">
        <v>124</v>
      </c>
      <c r="Z16" s="90">
        <v>3</v>
      </c>
      <c r="AF16" s="93"/>
      <c r="AG16" s="94"/>
      <c r="AH16" s="95"/>
      <c r="AI16" s="87"/>
      <c r="AJ16" s="87"/>
    </row>
    <row r="17" spans="1:37" x14ac:dyDescent="0.2">
      <c r="A17" s="97" t="s">
        <v>125</v>
      </c>
      <c r="B17" s="365"/>
      <c r="C17" s="8"/>
      <c r="D17" s="8"/>
      <c r="E17" s="8"/>
      <c r="F17" s="8"/>
      <c r="G17" s="8"/>
      <c r="H17" s="8"/>
      <c r="I17" s="8"/>
      <c r="J17" s="8"/>
      <c r="K17" s="8"/>
      <c r="L17" s="8"/>
      <c r="M17" s="8"/>
      <c r="N17" s="8"/>
      <c r="O17" s="8"/>
      <c r="P17" s="8"/>
      <c r="Q17" s="8"/>
      <c r="R17" s="8"/>
      <c r="S17" s="8"/>
      <c r="T17" s="8"/>
      <c r="U17" s="8"/>
      <c r="V17" s="8"/>
      <c r="W17" s="8"/>
      <c r="X17" s="8"/>
      <c r="Y17" s="421"/>
      <c r="Z17" s="90">
        <v>4</v>
      </c>
      <c r="AF17" s="93"/>
      <c r="AG17" s="629" t="s">
        <v>126</v>
      </c>
      <c r="AH17" s="629"/>
      <c r="AI17" s="629"/>
      <c r="AJ17" s="629"/>
    </row>
    <row r="18" spans="1:37" s="99" customFormat="1" ht="12" x14ac:dyDescent="0.2">
      <c r="A18" s="418" t="s">
        <v>127</v>
      </c>
      <c r="B18" s="419">
        <f t="shared" ref="B18:Y18" si="1">IF(B96&lt;80,B97,MIN(B96,80))</f>
        <v>0</v>
      </c>
      <c r="C18" s="419">
        <f t="shared" si="1"/>
        <v>0</v>
      </c>
      <c r="D18" s="419">
        <f t="shared" si="1"/>
        <v>0</v>
      </c>
      <c r="E18" s="419">
        <f t="shared" si="1"/>
        <v>0</v>
      </c>
      <c r="F18" s="419">
        <f t="shared" si="1"/>
        <v>4.2980862784831739</v>
      </c>
      <c r="G18" s="419">
        <f t="shared" si="1"/>
        <v>9.2980862784831739</v>
      </c>
      <c r="H18" s="419">
        <f t="shared" si="1"/>
        <v>14.298086278483174</v>
      </c>
      <c r="I18" s="419">
        <f t="shared" si="1"/>
        <v>29.298086278483176</v>
      </c>
      <c r="J18" s="419">
        <f t="shared" si="1"/>
        <v>29.298086278483176</v>
      </c>
      <c r="K18" s="419">
        <f t="shared" si="1"/>
        <v>29.298086278483176</v>
      </c>
      <c r="L18" s="419">
        <f t="shared" si="1"/>
        <v>29.298086278483176</v>
      </c>
      <c r="M18" s="419">
        <f t="shared" si="1"/>
        <v>29.298086278483176</v>
      </c>
      <c r="N18" s="419">
        <f t="shared" si="1"/>
        <v>49.298086278483176</v>
      </c>
      <c r="O18" s="419">
        <f t="shared" si="1"/>
        <v>59.298086278483176</v>
      </c>
      <c r="P18" s="419">
        <f t="shared" si="1"/>
        <v>80</v>
      </c>
      <c r="Q18" s="419">
        <f t="shared" si="1"/>
        <v>80</v>
      </c>
      <c r="R18" s="419">
        <f t="shared" si="1"/>
        <v>80</v>
      </c>
      <c r="S18" s="419">
        <f t="shared" si="1"/>
        <v>80</v>
      </c>
      <c r="T18" s="419">
        <f t="shared" si="1"/>
        <v>80</v>
      </c>
      <c r="U18" s="419">
        <f t="shared" si="1"/>
        <v>80</v>
      </c>
      <c r="V18" s="419">
        <f t="shared" si="1"/>
        <v>80</v>
      </c>
      <c r="W18" s="419">
        <f t="shared" si="1"/>
        <v>54.298086278483176</v>
      </c>
      <c r="X18" s="420">
        <f t="shared" si="1"/>
        <v>54.298086278483176</v>
      </c>
      <c r="Y18" s="419">
        <f t="shared" si="1"/>
        <v>0</v>
      </c>
      <c r="Z18" s="92">
        <v>5</v>
      </c>
      <c r="AF18" s="93"/>
      <c r="AG18" s="102"/>
      <c r="AH18" s="102"/>
      <c r="AI18" s="101"/>
      <c r="AJ18" s="101"/>
    </row>
    <row r="19" spans="1:37" ht="12" x14ac:dyDescent="0.2">
      <c r="A19" s="421" t="s">
        <v>128</v>
      </c>
      <c r="B19" s="552">
        <v>0.4</v>
      </c>
      <c r="C19" s="552">
        <v>0.5</v>
      </c>
      <c r="D19" s="552">
        <v>0.5</v>
      </c>
      <c r="E19" s="552">
        <v>0.55000000000000004</v>
      </c>
      <c r="F19" s="552">
        <v>0.65</v>
      </c>
      <c r="G19" s="552">
        <v>0.55000000000000004</v>
      </c>
      <c r="H19" s="552">
        <v>0.55000000000000004</v>
      </c>
      <c r="I19" s="552">
        <v>0.65</v>
      </c>
      <c r="J19" s="552">
        <v>0.55000000000000004</v>
      </c>
      <c r="K19" s="552">
        <v>0.55000000000000004</v>
      </c>
      <c r="L19" s="552">
        <v>0.65</v>
      </c>
      <c r="M19" s="552">
        <v>0.55000000000000004</v>
      </c>
      <c r="N19" s="552">
        <v>0.6</v>
      </c>
      <c r="O19" s="552">
        <v>0.65</v>
      </c>
      <c r="P19" s="552">
        <v>0.7</v>
      </c>
      <c r="Q19" s="552">
        <v>0.7</v>
      </c>
      <c r="R19" s="552">
        <v>0.7</v>
      </c>
      <c r="S19" s="552">
        <v>0.4</v>
      </c>
      <c r="T19" s="552">
        <v>0.8</v>
      </c>
      <c r="U19" s="552">
        <v>0.8</v>
      </c>
      <c r="V19" s="552">
        <v>0.8</v>
      </c>
      <c r="W19" s="552">
        <v>0.4</v>
      </c>
      <c r="X19" s="322">
        <v>0.6</v>
      </c>
      <c r="Y19" s="566">
        <f>H9</f>
        <v>0.4</v>
      </c>
      <c r="Z19" s="90">
        <v>6</v>
      </c>
      <c r="AF19" s="93"/>
      <c r="AG19" s="96" t="s">
        <v>129</v>
      </c>
      <c r="AH19" s="96"/>
      <c r="AI19" s="103"/>
      <c r="AJ19" s="103"/>
    </row>
    <row r="20" spans="1:37" ht="12" x14ac:dyDescent="0.2">
      <c r="A20" s="423" t="s">
        <v>130</v>
      </c>
      <c r="B20" s="553"/>
      <c r="C20" s="155"/>
      <c r="D20" s="155"/>
      <c r="E20" s="155"/>
      <c r="F20" s="155"/>
      <c r="G20" s="155"/>
      <c r="H20" s="155"/>
      <c r="I20" s="155"/>
      <c r="J20" s="155"/>
      <c r="K20" s="155"/>
      <c r="L20" s="155"/>
      <c r="M20" s="155"/>
      <c r="N20" s="155"/>
      <c r="O20" s="155"/>
      <c r="P20" s="155"/>
      <c r="Q20" s="155"/>
      <c r="R20" s="155"/>
      <c r="S20" s="155"/>
      <c r="T20" s="155"/>
      <c r="U20" s="155"/>
      <c r="V20" s="155"/>
      <c r="W20" s="155"/>
      <c r="X20" s="155"/>
      <c r="Y20" s="566"/>
      <c r="Z20" s="90">
        <v>7</v>
      </c>
      <c r="AF20" s="93"/>
      <c r="AG20" s="87"/>
      <c r="AH20" s="426" t="s">
        <v>89</v>
      </c>
      <c r="AI20" s="104" t="s">
        <v>131</v>
      </c>
      <c r="AJ20" s="87"/>
    </row>
    <row r="21" spans="1:37" s="10" customFormat="1" ht="12" x14ac:dyDescent="0.2">
      <c r="A21" s="427" t="s">
        <v>132</v>
      </c>
      <c r="B21" s="152">
        <f t="shared" ref="B21:Y21" si="2">B19*$B$8</f>
        <v>50.266666666666673</v>
      </c>
      <c r="C21" s="152">
        <f t="shared" si="2"/>
        <v>62.833333333333336</v>
      </c>
      <c r="D21" s="152">
        <f t="shared" si="2"/>
        <v>62.833333333333336</v>
      </c>
      <c r="E21" s="152">
        <f t="shared" si="2"/>
        <v>69.116666666666674</v>
      </c>
      <c r="F21" s="152">
        <f t="shared" si="2"/>
        <v>81.683333333333337</v>
      </c>
      <c r="G21" s="152">
        <f t="shared" si="2"/>
        <v>69.116666666666674</v>
      </c>
      <c r="H21" s="152">
        <f t="shared" si="2"/>
        <v>69.116666666666674</v>
      </c>
      <c r="I21" s="152">
        <f t="shared" si="2"/>
        <v>81.683333333333337</v>
      </c>
      <c r="J21" s="152">
        <f t="shared" si="2"/>
        <v>69.116666666666674</v>
      </c>
      <c r="K21" s="152">
        <f t="shared" si="2"/>
        <v>69.116666666666674</v>
      </c>
      <c r="L21" s="152">
        <f t="shared" si="2"/>
        <v>81.683333333333337</v>
      </c>
      <c r="M21" s="152">
        <f t="shared" si="2"/>
        <v>69.116666666666674</v>
      </c>
      <c r="N21" s="152">
        <f t="shared" si="2"/>
        <v>75.400000000000006</v>
      </c>
      <c r="O21" s="152">
        <f t="shared" si="2"/>
        <v>81.683333333333337</v>
      </c>
      <c r="P21" s="152">
        <f t="shared" si="2"/>
        <v>87.966666666666669</v>
      </c>
      <c r="Q21" s="152">
        <f t="shared" si="2"/>
        <v>87.966666666666669</v>
      </c>
      <c r="R21" s="152">
        <f t="shared" si="2"/>
        <v>87.966666666666669</v>
      </c>
      <c r="S21" s="152">
        <f t="shared" si="2"/>
        <v>50.266666666666673</v>
      </c>
      <c r="T21" s="152">
        <f t="shared" si="2"/>
        <v>100.53333333333335</v>
      </c>
      <c r="U21" s="152">
        <f t="shared" si="2"/>
        <v>100.53333333333335</v>
      </c>
      <c r="V21" s="152">
        <f t="shared" si="2"/>
        <v>100.53333333333335</v>
      </c>
      <c r="W21" s="152">
        <f t="shared" si="2"/>
        <v>50.266666666666673</v>
      </c>
      <c r="X21" s="323">
        <f t="shared" si="2"/>
        <v>75.400000000000006</v>
      </c>
      <c r="Y21" s="428">
        <f t="shared" si="2"/>
        <v>50.266666666666673</v>
      </c>
      <c r="Z21" s="92">
        <v>8</v>
      </c>
      <c r="AF21" s="93"/>
      <c r="AG21" s="87"/>
      <c r="AH21" s="87"/>
      <c r="AI21" s="87"/>
      <c r="AJ21" s="87"/>
    </row>
    <row r="22" spans="1:37" s="11" customFormat="1" ht="12" x14ac:dyDescent="0.2">
      <c r="A22" s="427" t="s">
        <v>133</v>
      </c>
      <c r="B22" s="429">
        <f>B21*$B$5</f>
        <v>75.400000000000006</v>
      </c>
      <c r="C22" s="429">
        <f t="shared" ref="C22:X22" si="3">C21*$B$5</f>
        <v>94.25</v>
      </c>
      <c r="D22" s="429">
        <f t="shared" si="3"/>
        <v>94.25</v>
      </c>
      <c r="E22" s="429">
        <f t="shared" si="3"/>
        <v>103.67500000000001</v>
      </c>
      <c r="F22" s="429">
        <f t="shared" si="3"/>
        <v>122.52500000000001</v>
      </c>
      <c r="G22" s="429">
        <f t="shared" si="3"/>
        <v>103.67500000000001</v>
      </c>
      <c r="H22" s="429">
        <f t="shared" si="3"/>
        <v>103.67500000000001</v>
      </c>
      <c r="I22" s="429">
        <f t="shared" si="3"/>
        <v>122.52500000000001</v>
      </c>
      <c r="J22" s="429">
        <f t="shared" si="3"/>
        <v>103.67500000000001</v>
      </c>
      <c r="K22" s="429">
        <f t="shared" si="3"/>
        <v>103.67500000000001</v>
      </c>
      <c r="L22" s="429">
        <f t="shared" si="3"/>
        <v>122.52500000000001</v>
      </c>
      <c r="M22" s="429">
        <f t="shared" si="3"/>
        <v>103.67500000000001</v>
      </c>
      <c r="N22" s="429">
        <f t="shared" si="3"/>
        <v>113.10000000000001</v>
      </c>
      <c r="O22" s="429">
        <f t="shared" si="3"/>
        <v>122.52500000000001</v>
      </c>
      <c r="P22" s="429">
        <f t="shared" si="3"/>
        <v>131.94999999999999</v>
      </c>
      <c r="Q22" s="429">
        <f t="shared" si="3"/>
        <v>131.94999999999999</v>
      </c>
      <c r="R22" s="429">
        <f t="shared" si="3"/>
        <v>131.94999999999999</v>
      </c>
      <c r="S22" s="429">
        <f t="shared" si="3"/>
        <v>75.400000000000006</v>
      </c>
      <c r="T22" s="429">
        <f t="shared" si="3"/>
        <v>150.80000000000001</v>
      </c>
      <c r="U22" s="429">
        <f t="shared" si="3"/>
        <v>150.80000000000001</v>
      </c>
      <c r="V22" s="429">
        <f t="shared" si="3"/>
        <v>150.80000000000001</v>
      </c>
      <c r="W22" s="429">
        <f t="shared" si="3"/>
        <v>75.400000000000006</v>
      </c>
      <c r="X22" s="430">
        <f t="shared" si="3"/>
        <v>113.10000000000001</v>
      </c>
      <c r="Y22" s="429">
        <f>Y21*$B$5</f>
        <v>75.400000000000006</v>
      </c>
      <c r="Z22" s="90">
        <v>9</v>
      </c>
      <c r="AF22" s="93"/>
      <c r="AG22" s="431" t="s">
        <v>134</v>
      </c>
      <c r="AH22" s="432">
        <f>HLOOKUP($AH$20,$B$14:$Z$67,Z36,FALSE)</f>
        <v>3.5</v>
      </c>
      <c r="AI22" s="105"/>
      <c r="AJ22" s="87"/>
    </row>
    <row r="23" spans="1:37" s="11" customFormat="1" ht="12" x14ac:dyDescent="0.2">
      <c r="A23" s="427" t="s">
        <v>135</v>
      </c>
      <c r="B23" s="433">
        <f t="shared" ref="B23:Y23" si="4">$B$9</f>
        <v>13</v>
      </c>
      <c r="C23" s="433">
        <f t="shared" si="4"/>
        <v>13</v>
      </c>
      <c r="D23" s="433">
        <f t="shared" si="4"/>
        <v>13</v>
      </c>
      <c r="E23" s="433">
        <f t="shared" si="4"/>
        <v>13</v>
      </c>
      <c r="F23" s="433">
        <f t="shared" si="4"/>
        <v>13</v>
      </c>
      <c r="G23" s="433">
        <f t="shared" si="4"/>
        <v>13</v>
      </c>
      <c r="H23" s="433">
        <f t="shared" si="4"/>
        <v>13</v>
      </c>
      <c r="I23" s="433">
        <f t="shared" si="4"/>
        <v>13</v>
      </c>
      <c r="J23" s="433">
        <f t="shared" si="4"/>
        <v>13</v>
      </c>
      <c r="K23" s="433">
        <f t="shared" si="4"/>
        <v>13</v>
      </c>
      <c r="L23" s="433">
        <f t="shared" si="4"/>
        <v>13</v>
      </c>
      <c r="M23" s="433">
        <f t="shared" si="4"/>
        <v>13</v>
      </c>
      <c r="N23" s="433">
        <f t="shared" si="4"/>
        <v>13</v>
      </c>
      <c r="O23" s="433">
        <f t="shared" si="4"/>
        <v>13</v>
      </c>
      <c r="P23" s="433">
        <f t="shared" si="4"/>
        <v>13</v>
      </c>
      <c r="Q23" s="433">
        <f t="shared" si="4"/>
        <v>13</v>
      </c>
      <c r="R23" s="433">
        <f t="shared" si="4"/>
        <v>13</v>
      </c>
      <c r="S23" s="433">
        <f t="shared" si="4"/>
        <v>13</v>
      </c>
      <c r="T23" s="433">
        <f t="shared" si="4"/>
        <v>13</v>
      </c>
      <c r="U23" s="433">
        <f t="shared" si="4"/>
        <v>13</v>
      </c>
      <c r="V23" s="433">
        <f t="shared" si="4"/>
        <v>13</v>
      </c>
      <c r="W23" s="433">
        <f t="shared" si="4"/>
        <v>13</v>
      </c>
      <c r="X23" s="434">
        <f t="shared" si="4"/>
        <v>13</v>
      </c>
      <c r="Y23" s="433">
        <f t="shared" si="4"/>
        <v>13</v>
      </c>
      <c r="Z23" s="90">
        <v>10</v>
      </c>
      <c r="AF23" s="93"/>
      <c r="AG23" s="431" t="s">
        <v>136</v>
      </c>
      <c r="AH23" s="432">
        <f>IF(HLOOKUP($AH$20,$B$14:$Z$67,Z50,FALSE)/HLOOKUP($AH$20,$B$14:$Z$67,Z35,FALSE)&lt;3,ROUND(HLOOKUP($AH$20,$B$14:$Z$67,Z50,FALSE)/HLOOKUP($AH$20,$B$14:$Z$67,Z35,FALSE),0),3)</f>
        <v>0</v>
      </c>
      <c r="AI23" s="96"/>
      <c r="AJ23" s="87"/>
    </row>
    <row r="24" spans="1:37" s="11" customFormat="1" ht="12" x14ac:dyDescent="0.2">
      <c r="A24" s="427" t="s">
        <v>137</v>
      </c>
      <c r="B24" s="433">
        <f t="shared" ref="B24:Y24" si="5">IF(ISBLANK(B120),0,$B$10)</f>
        <v>0</v>
      </c>
      <c r="C24" s="433">
        <f t="shared" si="5"/>
        <v>0</v>
      </c>
      <c r="D24" s="433">
        <f t="shared" si="5"/>
        <v>0</v>
      </c>
      <c r="E24" s="433">
        <f t="shared" si="5"/>
        <v>0</v>
      </c>
      <c r="F24" s="433">
        <f t="shared" si="5"/>
        <v>0</v>
      </c>
      <c r="G24" s="433">
        <f t="shared" si="5"/>
        <v>0</v>
      </c>
      <c r="H24" s="433">
        <f t="shared" si="5"/>
        <v>0</v>
      </c>
      <c r="I24" s="433">
        <f t="shared" si="5"/>
        <v>0</v>
      </c>
      <c r="J24" s="433">
        <f t="shared" si="5"/>
        <v>0</v>
      </c>
      <c r="K24" s="433">
        <f t="shared" si="5"/>
        <v>0</v>
      </c>
      <c r="L24" s="433">
        <f t="shared" si="5"/>
        <v>0</v>
      </c>
      <c r="M24" s="433">
        <f t="shared" si="5"/>
        <v>0</v>
      </c>
      <c r="N24" s="433">
        <f t="shared" si="5"/>
        <v>0</v>
      </c>
      <c r="O24" s="433">
        <f t="shared" si="5"/>
        <v>0</v>
      </c>
      <c r="P24" s="433">
        <f t="shared" si="5"/>
        <v>0</v>
      </c>
      <c r="Q24" s="433">
        <f t="shared" si="5"/>
        <v>0</v>
      </c>
      <c r="R24" s="433">
        <f t="shared" si="5"/>
        <v>0</v>
      </c>
      <c r="S24" s="433">
        <f t="shared" si="5"/>
        <v>0</v>
      </c>
      <c r="T24" s="433">
        <f t="shared" si="5"/>
        <v>35.1</v>
      </c>
      <c r="U24" s="433">
        <f t="shared" si="5"/>
        <v>35.1</v>
      </c>
      <c r="V24" s="433">
        <f t="shared" si="5"/>
        <v>35.1</v>
      </c>
      <c r="W24" s="433">
        <f t="shared" si="5"/>
        <v>0</v>
      </c>
      <c r="X24" s="434">
        <f t="shared" si="5"/>
        <v>0</v>
      </c>
      <c r="Y24" s="433">
        <f t="shared" si="5"/>
        <v>0</v>
      </c>
      <c r="Z24" s="92">
        <v>11</v>
      </c>
      <c r="AF24" s="93"/>
      <c r="AG24" s="99" t="s">
        <v>138</v>
      </c>
      <c r="AI24" s="34"/>
      <c r="AJ24" s="87"/>
    </row>
    <row r="25" spans="1:37" s="11" customFormat="1" ht="12" x14ac:dyDescent="0.2">
      <c r="A25" s="427" t="s">
        <v>139</v>
      </c>
      <c r="B25" s="429">
        <f t="shared" ref="B25:Y25" si="6">B21*$B$5+SUM(B23:B24)</f>
        <v>88.4</v>
      </c>
      <c r="C25" s="429">
        <f t="shared" si="6"/>
        <v>107.25</v>
      </c>
      <c r="D25" s="429">
        <f t="shared" si="6"/>
        <v>107.25</v>
      </c>
      <c r="E25" s="429">
        <f t="shared" si="6"/>
        <v>116.67500000000001</v>
      </c>
      <c r="F25" s="429">
        <f>F21*$B$5+SUM(F23:F24)</f>
        <v>135.52500000000001</v>
      </c>
      <c r="G25" s="429">
        <f t="shared" si="6"/>
        <v>116.67500000000001</v>
      </c>
      <c r="H25" s="429">
        <f t="shared" si="6"/>
        <v>116.67500000000001</v>
      </c>
      <c r="I25" s="429">
        <f t="shared" si="6"/>
        <v>135.52500000000001</v>
      </c>
      <c r="J25" s="429">
        <f t="shared" si="6"/>
        <v>116.67500000000001</v>
      </c>
      <c r="K25" s="429">
        <f t="shared" si="6"/>
        <v>116.67500000000001</v>
      </c>
      <c r="L25" s="429">
        <f t="shared" si="6"/>
        <v>135.52500000000001</v>
      </c>
      <c r="M25" s="429">
        <f t="shared" si="6"/>
        <v>116.67500000000001</v>
      </c>
      <c r="N25" s="429">
        <f t="shared" si="6"/>
        <v>126.10000000000001</v>
      </c>
      <c r="O25" s="429">
        <f t="shared" si="6"/>
        <v>135.52500000000001</v>
      </c>
      <c r="P25" s="429">
        <f t="shared" si="6"/>
        <v>144.94999999999999</v>
      </c>
      <c r="Q25" s="429">
        <f t="shared" ref="Q25:U25" si="7">Q21*$B$5+SUM(Q23:Q24)</f>
        <v>144.94999999999999</v>
      </c>
      <c r="R25" s="429">
        <f t="shared" si="7"/>
        <v>144.94999999999999</v>
      </c>
      <c r="S25" s="429">
        <f t="shared" si="7"/>
        <v>88.4</v>
      </c>
      <c r="T25" s="429">
        <f t="shared" si="7"/>
        <v>198.9</v>
      </c>
      <c r="U25" s="429">
        <f t="shared" si="7"/>
        <v>198.9</v>
      </c>
      <c r="V25" s="429">
        <f t="shared" si="6"/>
        <v>198.9</v>
      </c>
      <c r="W25" s="429">
        <f t="shared" si="6"/>
        <v>88.4</v>
      </c>
      <c r="X25" s="430">
        <f t="shared" si="6"/>
        <v>126.10000000000001</v>
      </c>
      <c r="Y25" s="429">
        <f t="shared" si="6"/>
        <v>88.4</v>
      </c>
      <c r="Z25" s="90">
        <v>12</v>
      </c>
      <c r="AF25" s="93"/>
      <c r="AG25" s="87" t="s">
        <v>140</v>
      </c>
      <c r="AH25" s="106"/>
      <c r="AI25" s="34"/>
      <c r="AJ25" s="87"/>
    </row>
    <row r="26" spans="1:37" s="11" customFormat="1" ht="12" x14ac:dyDescent="0.2">
      <c r="A26" s="12" t="s">
        <v>141</v>
      </c>
      <c r="B26" s="13">
        <f t="shared" ref="B26:Y26" si="8">-IF(ISBLANK(B119),0,ROUND(MIN(B$22*$H$10,B$22-$B$7*$H$9),1))</f>
        <v>0</v>
      </c>
      <c r="C26" s="13">
        <f t="shared" si="8"/>
        <v>-18.899999999999999</v>
      </c>
      <c r="D26" s="13">
        <f t="shared" si="8"/>
        <v>-18.899999999999999</v>
      </c>
      <c r="E26" s="13">
        <f t="shared" si="8"/>
        <v>-28.3</v>
      </c>
      <c r="F26" s="13">
        <f t="shared" si="8"/>
        <v>0</v>
      </c>
      <c r="G26" s="13">
        <f t="shared" si="8"/>
        <v>-28.3</v>
      </c>
      <c r="H26" s="13">
        <f t="shared" si="8"/>
        <v>-28.3</v>
      </c>
      <c r="I26" s="13">
        <f t="shared" si="8"/>
        <v>0</v>
      </c>
      <c r="J26" s="13">
        <f t="shared" si="8"/>
        <v>-28.3</v>
      </c>
      <c r="K26" s="13">
        <f t="shared" si="8"/>
        <v>-28.3</v>
      </c>
      <c r="L26" s="13">
        <f t="shared" si="8"/>
        <v>0</v>
      </c>
      <c r="M26" s="13">
        <f t="shared" si="8"/>
        <v>-28.3</v>
      </c>
      <c r="N26" s="13">
        <f t="shared" si="8"/>
        <v>-32.5</v>
      </c>
      <c r="O26" s="13">
        <f t="shared" si="8"/>
        <v>0</v>
      </c>
      <c r="P26" s="13">
        <f t="shared" si="8"/>
        <v>-37.9</v>
      </c>
      <c r="Q26" s="13">
        <f t="shared" si="8"/>
        <v>-37.9</v>
      </c>
      <c r="R26" s="13">
        <f t="shared" si="8"/>
        <v>-37.9</v>
      </c>
      <c r="S26" s="13">
        <f t="shared" si="8"/>
        <v>0</v>
      </c>
      <c r="T26" s="13">
        <f t="shared" si="8"/>
        <v>0</v>
      </c>
      <c r="U26" s="13">
        <f t="shared" si="8"/>
        <v>0</v>
      </c>
      <c r="V26" s="13">
        <f t="shared" si="8"/>
        <v>0</v>
      </c>
      <c r="W26" s="13">
        <f t="shared" si="8"/>
        <v>0</v>
      </c>
      <c r="X26" s="81">
        <f t="shared" si="8"/>
        <v>-32.5</v>
      </c>
      <c r="Y26" s="429">
        <f t="shared" si="8"/>
        <v>0</v>
      </c>
      <c r="Z26" s="90">
        <v>13</v>
      </c>
      <c r="AF26" s="93"/>
      <c r="AG26" s="87" t="s">
        <v>142</v>
      </c>
      <c r="AH26" s="106"/>
      <c r="AI26" s="34"/>
      <c r="AJ26" s="87"/>
    </row>
    <row r="27" spans="1:37" s="11" customFormat="1" ht="12" x14ac:dyDescent="0.2">
      <c r="A27" s="427" t="s">
        <v>143</v>
      </c>
      <c r="B27" s="13">
        <f>SUM(B25:B26)</f>
        <v>88.4</v>
      </c>
      <c r="C27" s="13">
        <f t="shared" ref="C27:Y27" si="9">SUM(C25:C26)</f>
        <v>88.35</v>
      </c>
      <c r="D27" s="13">
        <f t="shared" si="9"/>
        <v>88.35</v>
      </c>
      <c r="E27" s="13">
        <f t="shared" si="9"/>
        <v>88.375000000000014</v>
      </c>
      <c r="F27" s="13">
        <f>SUM(F25:F26)</f>
        <v>135.52500000000001</v>
      </c>
      <c r="G27" s="13">
        <f t="shared" si="9"/>
        <v>88.375000000000014</v>
      </c>
      <c r="H27" s="13">
        <f t="shared" si="9"/>
        <v>88.375000000000014</v>
      </c>
      <c r="I27" s="13">
        <f t="shared" si="9"/>
        <v>135.52500000000001</v>
      </c>
      <c r="J27" s="13">
        <f t="shared" si="9"/>
        <v>88.375000000000014</v>
      </c>
      <c r="K27" s="13">
        <f t="shared" si="9"/>
        <v>88.375000000000014</v>
      </c>
      <c r="L27" s="13">
        <f t="shared" si="9"/>
        <v>135.52500000000001</v>
      </c>
      <c r="M27" s="13">
        <f t="shared" si="9"/>
        <v>88.375000000000014</v>
      </c>
      <c r="N27" s="13">
        <f t="shared" si="9"/>
        <v>93.600000000000009</v>
      </c>
      <c r="O27" s="13">
        <f t="shared" si="9"/>
        <v>135.52500000000001</v>
      </c>
      <c r="P27" s="13">
        <f t="shared" si="9"/>
        <v>107.04999999999998</v>
      </c>
      <c r="Q27" s="13">
        <f t="shared" si="9"/>
        <v>107.04999999999998</v>
      </c>
      <c r="R27" s="13">
        <f t="shared" si="9"/>
        <v>107.04999999999998</v>
      </c>
      <c r="S27" s="13">
        <f t="shared" si="9"/>
        <v>88.4</v>
      </c>
      <c r="T27" s="13">
        <f t="shared" si="9"/>
        <v>198.9</v>
      </c>
      <c r="U27" s="13">
        <f t="shared" si="9"/>
        <v>198.9</v>
      </c>
      <c r="V27" s="13">
        <f t="shared" si="9"/>
        <v>198.9</v>
      </c>
      <c r="W27" s="13">
        <f t="shared" si="9"/>
        <v>88.4</v>
      </c>
      <c r="X27" s="81">
        <f t="shared" si="9"/>
        <v>93.600000000000009</v>
      </c>
      <c r="Y27" s="429">
        <f t="shared" si="9"/>
        <v>88.4</v>
      </c>
      <c r="Z27" s="92">
        <v>14</v>
      </c>
      <c r="AF27" s="93"/>
      <c r="AG27" s="100"/>
      <c r="AH27" s="34"/>
      <c r="AI27" s="34"/>
      <c r="AJ27" s="87"/>
    </row>
    <row r="28" spans="1:37" s="11" customFormat="1" ht="12" x14ac:dyDescent="0.2">
      <c r="A28" s="12" t="s">
        <v>144</v>
      </c>
      <c r="B28" s="51">
        <f>AVERAGE(W22:X22,B22)</f>
        <v>87.966666666666654</v>
      </c>
      <c r="C28" s="51">
        <f>AVERAGE(X22,B22:C22)</f>
        <v>94.25</v>
      </c>
      <c r="D28" s="51">
        <f t="shared" ref="D28:Y28" si="10">AVERAGE(B22:D22)</f>
        <v>87.966666666666654</v>
      </c>
      <c r="E28" s="51">
        <f t="shared" si="10"/>
        <v>97.391666666666666</v>
      </c>
      <c r="F28" s="51">
        <f t="shared" si="10"/>
        <v>106.81666666666668</v>
      </c>
      <c r="G28" s="51">
        <f t="shared" si="10"/>
        <v>109.95833333333333</v>
      </c>
      <c r="H28" s="51">
        <f t="shared" si="10"/>
        <v>109.95833333333333</v>
      </c>
      <c r="I28" s="51">
        <f t="shared" si="10"/>
        <v>109.95833333333333</v>
      </c>
      <c r="J28" s="51">
        <f t="shared" si="10"/>
        <v>109.95833333333333</v>
      </c>
      <c r="K28" s="51">
        <f t="shared" si="10"/>
        <v>109.95833333333333</v>
      </c>
      <c r="L28" s="51">
        <f t="shared" si="10"/>
        <v>109.95833333333333</v>
      </c>
      <c r="M28" s="51">
        <f t="shared" si="10"/>
        <v>109.95833333333333</v>
      </c>
      <c r="N28" s="51">
        <f t="shared" si="10"/>
        <v>113.10000000000001</v>
      </c>
      <c r="O28" s="51">
        <f t="shared" si="10"/>
        <v>113.10000000000002</v>
      </c>
      <c r="P28" s="51">
        <f t="shared" si="10"/>
        <v>122.52499999999999</v>
      </c>
      <c r="Q28" s="51">
        <f>AVERAGE(N22:Q22)</f>
        <v>124.88124999999999</v>
      </c>
      <c r="R28" s="51">
        <f>AVERAGE(N22:R22)</f>
        <v>126.29499999999999</v>
      </c>
      <c r="S28" s="51">
        <f>AVERAGE(N22:S22)</f>
        <v>117.81249999999999</v>
      </c>
      <c r="T28" s="51">
        <f>AVERAGE(N22:T22)</f>
        <v>122.52499999999999</v>
      </c>
      <c r="U28" s="51">
        <f>AVERAGE(N22:U22)</f>
        <v>126.05937499999999</v>
      </c>
      <c r="V28" s="51">
        <f>AVERAGE(O22:V22)</f>
        <v>130.77187499999999</v>
      </c>
      <c r="W28" s="51">
        <f>AVERAGE(P22:W22)</f>
        <v>124.88124999999998</v>
      </c>
      <c r="X28" s="324">
        <f t="shared" si="10"/>
        <v>113.10000000000001</v>
      </c>
      <c r="Y28" s="429">
        <f t="shared" si="10"/>
        <v>87.966666666666654</v>
      </c>
      <c r="Z28" s="90">
        <v>15</v>
      </c>
      <c r="AF28" s="93"/>
      <c r="AG28" s="630" t="s">
        <v>145</v>
      </c>
      <c r="AH28" s="631"/>
      <c r="AI28" s="435" t="s">
        <v>146</v>
      </c>
      <c r="AJ28" s="87"/>
    </row>
    <row r="29" spans="1:37" s="11" customFormat="1" ht="12" x14ac:dyDescent="0.2">
      <c r="A29" s="151" t="s">
        <v>147</v>
      </c>
      <c r="B29" s="430"/>
      <c r="C29" s="156"/>
      <c r="D29" s="156"/>
      <c r="E29" s="156"/>
      <c r="F29" s="156"/>
      <c r="G29" s="156"/>
      <c r="H29" s="156"/>
      <c r="I29" s="156"/>
      <c r="J29" s="156"/>
      <c r="K29" s="156"/>
      <c r="L29" s="156"/>
      <c r="M29" s="156"/>
      <c r="N29" s="156"/>
      <c r="O29" s="156"/>
      <c r="P29" s="156"/>
      <c r="Q29" s="156"/>
      <c r="R29" s="156"/>
      <c r="S29" s="156"/>
      <c r="T29" s="156"/>
      <c r="U29" s="156"/>
      <c r="V29" s="156"/>
      <c r="W29" s="156"/>
      <c r="X29" s="156"/>
      <c r="Y29" s="429"/>
      <c r="Z29" s="90">
        <v>16</v>
      </c>
      <c r="AF29" s="107" t="s">
        <v>148</v>
      </c>
      <c r="AG29" s="436" t="s">
        <v>149</v>
      </c>
      <c r="AH29" s="437">
        <f>HLOOKUP($AH$20,$B$14:$Z$67,Z50,FALSE)</f>
        <v>0</v>
      </c>
      <c r="AI29" s="437"/>
      <c r="AJ29" s="87"/>
    </row>
    <row r="30" spans="1:37" s="11" customFormat="1" ht="12" x14ac:dyDescent="0.2">
      <c r="A30" s="12" t="s">
        <v>150</v>
      </c>
      <c r="B30" s="13">
        <f t="shared" ref="B30:Y30" si="11">IF(ISBLANK(B119),0,$B$11)</f>
        <v>13</v>
      </c>
      <c r="C30" s="13">
        <f t="shared" si="11"/>
        <v>13</v>
      </c>
      <c r="D30" s="13">
        <f t="shared" si="11"/>
        <v>13</v>
      </c>
      <c r="E30" s="13">
        <f t="shared" si="11"/>
        <v>13</v>
      </c>
      <c r="F30" s="13">
        <f t="shared" si="11"/>
        <v>0</v>
      </c>
      <c r="G30" s="13">
        <f t="shared" si="11"/>
        <v>13</v>
      </c>
      <c r="H30" s="13">
        <f t="shared" si="11"/>
        <v>13</v>
      </c>
      <c r="I30" s="13">
        <f t="shared" si="11"/>
        <v>0</v>
      </c>
      <c r="J30" s="13">
        <f t="shared" si="11"/>
        <v>13</v>
      </c>
      <c r="K30" s="13">
        <f t="shared" si="11"/>
        <v>13</v>
      </c>
      <c r="L30" s="13">
        <f t="shared" si="11"/>
        <v>0</v>
      </c>
      <c r="M30" s="13">
        <f t="shared" si="11"/>
        <v>13</v>
      </c>
      <c r="N30" s="13">
        <f t="shared" si="11"/>
        <v>13</v>
      </c>
      <c r="O30" s="13">
        <f t="shared" si="11"/>
        <v>0</v>
      </c>
      <c r="P30" s="13">
        <f t="shared" si="11"/>
        <v>13</v>
      </c>
      <c r="Q30" s="13">
        <f t="shared" si="11"/>
        <v>13</v>
      </c>
      <c r="R30" s="13">
        <f t="shared" si="11"/>
        <v>13</v>
      </c>
      <c r="S30" s="13">
        <f t="shared" si="11"/>
        <v>0</v>
      </c>
      <c r="T30" s="13">
        <f t="shared" si="11"/>
        <v>0</v>
      </c>
      <c r="U30" s="13">
        <f t="shared" si="11"/>
        <v>0</v>
      </c>
      <c r="V30" s="13">
        <f t="shared" si="11"/>
        <v>0</v>
      </c>
      <c r="W30" s="13">
        <f t="shared" si="11"/>
        <v>0</v>
      </c>
      <c r="X30" s="81">
        <f t="shared" si="11"/>
        <v>13</v>
      </c>
      <c r="Y30" s="429">
        <f t="shared" si="11"/>
        <v>13</v>
      </c>
      <c r="Z30" s="92">
        <v>17</v>
      </c>
      <c r="AF30" s="43"/>
      <c r="AG30" s="438">
        <v>15</v>
      </c>
      <c r="AH30" s="432">
        <f>IF(AH29-$AG30&lt;0,0,AH29-$AG30)</f>
        <v>0</v>
      </c>
      <c r="AI30" s="432">
        <f>IF(ISERROR(MAX(0,AH22-$AG30/AH23)),0,MAX(0,AH22-$AG30/AH23))</f>
        <v>0</v>
      </c>
      <c r="AJ30" s="87"/>
    </row>
    <row r="31" spans="1:37"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555"/>
      <c r="Z31" s="90">
        <v>18</v>
      </c>
      <c r="AF31" s="107" t="s">
        <v>152</v>
      </c>
      <c r="AG31" s="436" t="s">
        <v>149</v>
      </c>
      <c r="AH31" s="437">
        <f>HLOOKUP($AH$20,$B$14:$Z$67,Z52,FALSE)</f>
        <v>6</v>
      </c>
      <c r="AI31" s="437"/>
      <c r="AJ31" s="87"/>
      <c r="AK31" s="7"/>
    </row>
    <row r="32" spans="1:37" thickBot="1" x14ac:dyDescent="0.25">
      <c r="A32" s="412" t="s">
        <v>153</v>
      </c>
      <c r="B32" s="425">
        <v>0.7</v>
      </c>
      <c r="C32" s="425">
        <v>0.7</v>
      </c>
      <c r="D32" s="425">
        <v>0.7</v>
      </c>
      <c r="E32" s="425">
        <v>0.8</v>
      </c>
      <c r="F32" s="425">
        <v>0.8</v>
      </c>
      <c r="G32" s="425">
        <v>0.8</v>
      </c>
      <c r="H32" s="425">
        <v>0.8</v>
      </c>
      <c r="I32" s="425">
        <v>0.8</v>
      </c>
      <c r="J32" s="425">
        <v>0.8</v>
      </c>
      <c r="K32" s="425">
        <v>0.8</v>
      </c>
      <c r="L32" s="425">
        <v>0.8</v>
      </c>
      <c r="M32" s="425">
        <v>0.8</v>
      </c>
      <c r="N32" s="425">
        <v>0.9</v>
      </c>
      <c r="O32" s="425">
        <v>0.9</v>
      </c>
      <c r="P32" s="425">
        <v>0.9</v>
      </c>
      <c r="Q32" s="425">
        <v>1</v>
      </c>
      <c r="R32" s="425">
        <v>1</v>
      </c>
      <c r="S32" s="425">
        <v>1</v>
      </c>
      <c r="T32" s="425">
        <v>1</v>
      </c>
      <c r="U32" s="425">
        <v>1</v>
      </c>
      <c r="V32" s="425">
        <v>1</v>
      </c>
      <c r="W32" s="425">
        <v>1</v>
      </c>
      <c r="X32" s="424">
        <v>1</v>
      </c>
      <c r="Y32" s="425">
        <v>0.7</v>
      </c>
      <c r="Z32" s="90">
        <v>19</v>
      </c>
      <c r="AF32" s="34"/>
      <c r="AG32" s="441">
        <v>10</v>
      </c>
      <c r="AH32" s="442">
        <f>IF(AH31-$AG32&lt;0,0,AH31-$AG32)</f>
        <v>0</v>
      </c>
      <c r="AI32" s="442">
        <f>IF(ISERROR(MAX(0,AH22-$AG32/AH23)),0,MAX(0,AH22-$AG32/AH23))</f>
        <v>0</v>
      </c>
      <c r="AJ32" s="87"/>
      <c r="AK32" s="11"/>
    </row>
    <row r="33" spans="1:37" s="11" customFormat="1" ht="12" x14ac:dyDescent="0.2">
      <c r="A33" s="412" t="s">
        <v>154</v>
      </c>
      <c r="B33" s="446">
        <f>0.8*B32</f>
        <v>0.55999999999999994</v>
      </c>
      <c r="C33" s="446">
        <f t="shared" ref="C33:Y33" si="12">0.8*C32</f>
        <v>0.55999999999999994</v>
      </c>
      <c r="D33" s="446">
        <f t="shared" si="12"/>
        <v>0.55999999999999994</v>
      </c>
      <c r="E33" s="446">
        <f t="shared" si="12"/>
        <v>0.64000000000000012</v>
      </c>
      <c r="F33" s="446">
        <f t="shared" si="12"/>
        <v>0.64000000000000012</v>
      </c>
      <c r="G33" s="446">
        <f t="shared" si="12"/>
        <v>0.64000000000000012</v>
      </c>
      <c r="H33" s="446">
        <f t="shared" si="12"/>
        <v>0.64000000000000012</v>
      </c>
      <c r="I33" s="446">
        <f t="shared" si="12"/>
        <v>0.64000000000000012</v>
      </c>
      <c r="J33" s="446">
        <f t="shared" si="12"/>
        <v>0.64000000000000012</v>
      </c>
      <c r="K33" s="446">
        <f t="shared" si="12"/>
        <v>0.64000000000000012</v>
      </c>
      <c r="L33" s="446">
        <f t="shared" si="12"/>
        <v>0.64000000000000012</v>
      </c>
      <c r="M33" s="446">
        <f t="shared" si="12"/>
        <v>0.64000000000000012</v>
      </c>
      <c r="N33" s="446">
        <f t="shared" si="12"/>
        <v>0.72000000000000008</v>
      </c>
      <c r="O33" s="446">
        <f t="shared" si="12"/>
        <v>0.72000000000000008</v>
      </c>
      <c r="P33" s="446">
        <f t="shared" si="12"/>
        <v>0.72000000000000008</v>
      </c>
      <c r="Q33" s="446">
        <f t="shared" si="12"/>
        <v>0.8</v>
      </c>
      <c r="R33" s="446">
        <f t="shared" si="12"/>
        <v>0.8</v>
      </c>
      <c r="S33" s="446">
        <f t="shared" si="12"/>
        <v>0.8</v>
      </c>
      <c r="T33" s="446">
        <f t="shared" si="12"/>
        <v>0.8</v>
      </c>
      <c r="U33" s="446">
        <f t="shared" si="12"/>
        <v>0.8</v>
      </c>
      <c r="V33" s="446">
        <f t="shared" si="12"/>
        <v>0.8</v>
      </c>
      <c r="W33" s="446">
        <f t="shared" si="12"/>
        <v>0.8</v>
      </c>
      <c r="X33" s="556">
        <f t="shared" si="12"/>
        <v>0.8</v>
      </c>
      <c r="Y33" s="446">
        <f t="shared" si="12"/>
        <v>0.55999999999999994</v>
      </c>
      <c r="Z33" s="92">
        <v>20</v>
      </c>
      <c r="AF33" s="34"/>
      <c r="AG33" s="108" t="s">
        <v>155</v>
      </c>
      <c r="AH33" s="108" t="s">
        <v>156</v>
      </c>
      <c r="AI33" s="108" t="s">
        <v>157</v>
      </c>
      <c r="AJ33" s="87"/>
    </row>
    <row r="34" spans="1:37" s="11" customFormat="1" ht="12" x14ac:dyDescent="0.2">
      <c r="A34" s="445" t="s">
        <v>158</v>
      </c>
      <c r="B34" s="446">
        <f>((B36*$B$171)/$B$2)</f>
        <v>0.41113182918562979</v>
      </c>
      <c r="C34" s="446">
        <f t="shared" ref="C34:Y34" si="13">((C36*$B$171)/$B$2)</f>
        <v>0.49195261611955698</v>
      </c>
      <c r="D34" s="446">
        <f t="shared" si="13"/>
        <v>0.49195261611955698</v>
      </c>
      <c r="E34" s="446">
        <f t="shared" si="13"/>
        <v>0.56223156127949392</v>
      </c>
      <c r="F34" s="446">
        <f t="shared" si="13"/>
        <v>0.56223156127949392</v>
      </c>
      <c r="G34" s="446">
        <f t="shared" si="13"/>
        <v>0.56223156127949392</v>
      </c>
      <c r="H34" s="446">
        <f t="shared" si="13"/>
        <v>0.56223156127949392</v>
      </c>
      <c r="I34" s="446">
        <f t="shared" si="13"/>
        <v>0.56223156127949392</v>
      </c>
      <c r="J34" s="446">
        <f t="shared" si="13"/>
        <v>0.56223156127949392</v>
      </c>
      <c r="K34" s="446">
        <f t="shared" si="13"/>
        <v>0.56223156127949392</v>
      </c>
      <c r="L34" s="446">
        <f t="shared" si="13"/>
        <v>0.56223156127949392</v>
      </c>
      <c r="M34" s="446">
        <f t="shared" si="13"/>
        <v>0.56223156127949392</v>
      </c>
      <c r="N34" s="446">
        <f t="shared" si="13"/>
        <v>0.63251050643943052</v>
      </c>
      <c r="O34" s="446">
        <f t="shared" si="13"/>
        <v>0.63251050643943052</v>
      </c>
      <c r="P34" s="446">
        <f t="shared" si="13"/>
        <v>0.63251050643943052</v>
      </c>
      <c r="Q34" s="446">
        <f t="shared" si="13"/>
        <v>0.70278945159936723</v>
      </c>
      <c r="R34" s="446">
        <f t="shared" si="13"/>
        <v>0.70278945159936723</v>
      </c>
      <c r="S34" s="446">
        <f t="shared" si="13"/>
        <v>0.70278945159936723</v>
      </c>
      <c r="T34" s="446">
        <f t="shared" si="13"/>
        <v>0.70278945159936723</v>
      </c>
      <c r="U34" s="446">
        <f t="shared" si="13"/>
        <v>0.70278945159936723</v>
      </c>
      <c r="V34" s="446">
        <f t="shared" si="13"/>
        <v>0.70278945159936723</v>
      </c>
      <c r="W34" s="446">
        <f t="shared" si="13"/>
        <v>0.70278945159936723</v>
      </c>
      <c r="X34" s="446">
        <f t="shared" si="13"/>
        <v>0.41113182918562979</v>
      </c>
      <c r="Y34" s="446">
        <f t="shared" si="13"/>
        <v>0.49195261611955698</v>
      </c>
      <c r="Z34" s="92"/>
      <c r="AF34" s="43" t="s">
        <v>159</v>
      </c>
      <c r="AG34" s="447">
        <f>SUM(AG30,AG32)</f>
        <v>25</v>
      </c>
      <c r="AH34" s="447">
        <f>SUM(AH29,AH31)</f>
        <v>6</v>
      </c>
      <c r="AI34" s="447">
        <f>MAX(AI29:AI32)</f>
        <v>0</v>
      </c>
      <c r="AJ34" s="87"/>
    </row>
    <row r="35" spans="1:37" s="11" customFormat="1" ht="12" x14ac:dyDescent="0.2">
      <c r="A35" s="567" t="s">
        <v>160</v>
      </c>
      <c r="B35" s="448">
        <f t="shared" ref="B35:Y35" si="14">ROUND($B$2*B$32,2)</f>
        <v>3.5</v>
      </c>
      <c r="C35" s="448">
        <f t="shared" si="14"/>
        <v>3.5</v>
      </c>
      <c r="D35" s="448">
        <f t="shared" si="14"/>
        <v>3.5</v>
      </c>
      <c r="E35" s="448">
        <f t="shared" si="14"/>
        <v>4</v>
      </c>
      <c r="F35" s="448">
        <f t="shared" si="14"/>
        <v>4</v>
      </c>
      <c r="G35" s="448">
        <f t="shared" si="14"/>
        <v>4</v>
      </c>
      <c r="H35" s="448">
        <f t="shared" si="14"/>
        <v>4</v>
      </c>
      <c r="I35" s="448">
        <f t="shared" si="14"/>
        <v>4</v>
      </c>
      <c r="J35" s="448">
        <f t="shared" si="14"/>
        <v>4</v>
      </c>
      <c r="K35" s="448">
        <f t="shared" si="14"/>
        <v>4</v>
      </c>
      <c r="L35" s="448">
        <f t="shared" si="14"/>
        <v>4</v>
      </c>
      <c r="M35" s="448">
        <f t="shared" si="14"/>
        <v>4</v>
      </c>
      <c r="N35" s="448">
        <f t="shared" si="14"/>
        <v>4.5</v>
      </c>
      <c r="O35" s="448">
        <f t="shared" si="14"/>
        <v>4.5</v>
      </c>
      <c r="P35" s="448">
        <f t="shared" si="14"/>
        <v>4.5</v>
      </c>
      <c r="Q35" s="448">
        <f t="shared" si="14"/>
        <v>5</v>
      </c>
      <c r="R35" s="448">
        <f t="shared" si="14"/>
        <v>5</v>
      </c>
      <c r="S35" s="448">
        <f t="shared" si="14"/>
        <v>5</v>
      </c>
      <c r="T35" s="448">
        <f t="shared" si="14"/>
        <v>5</v>
      </c>
      <c r="U35" s="448">
        <f t="shared" si="14"/>
        <v>5</v>
      </c>
      <c r="V35" s="448">
        <f t="shared" si="14"/>
        <v>5</v>
      </c>
      <c r="W35" s="448">
        <f t="shared" si="14"/>
        <v>5</v>
      </c>
      <c r="X35" s="449">
        <f t="shared" si="14"/>
        <v>5</v>
      </c>
      <c r="Y35" s="448">
        <f t="shared" si="14"/>
        <v>3.5</v>
      </c>
      <c r="Z35" s="90">
        <v>21</v>
      </c>
      <c r="AF35" s="43"/>
      <c r="AG35" s="34"/>
      <c r="AH35" s="34"/>
      <c r="AI35" s="34"/>
      <c r="AJ35" s="87"/>
    </row>
    <row r="36" spans="1:37" s="11" customFormat="1" ht="12" x14ac:dyDescent="0.2">
      <c r="A36" s="567" t="s">
        <v>134</v>
      </c>
      <c r="B36" s="568">
        <v>2.34</v>
      </c>
      <c r="C36" s="568">
        <f t="shared" ref="C36:W36" si="15">ROUND($B$2*C$33,2)</f>
        <v>2.8</v>
      </c>
      <c r="D36" s="568">
        <f t="shared" si="15"/>
        <v>2.8</v>
      </c>
      <c r="E36" s="568">
        <f t="shared" si="15"/>
        <v>3.2</v>
      </c>
      <c r="F36" s="568">
        <f t="shared" si="15"/>
        <v>3.2</v>
      </c>
      <c r="G36" s="568">
        <f t="shared" si="15"/>
        <v>3.2</v>
      </c>
      <c r="H36" s="568">
        <f t="shared" si="15"/>
        <v>3.2</v>
      </c>
      <c r="I36" s="568">
        <f t="shared" si="15"/>
        <v>3.2</v>
      </c>
      <c r="J36" s="568">
        <f t="shared" si="15"/>
        <v>3.2</v>
      </c>
      <c r="K36" s="568">
        <f t="shared" si="15"/>
        <v>3.2</v>
      </c>
      <c r="L36" s="568">
        <f t="shared" si="15"/>
        <v>3.2</v>
      </c>
      <c r="M36" s="568">
        <f t="shared" si="15"/>
        <v>3.2</v>
      </c>
      <c r="N36" s="568">
        <f t="shared" si="15"/>
        <v>3.6</v>
      </c>
      <c r="O36" s="568">
        <f t="shared" si="15"/>
        <v>3.6</v>
      </c>
      <c r="P36" s="568">
        <f t="shared" si="15"/>
        <v>3.6</v>
      </c>
      <c r="Q36" s="568">
        <f t="shared" si="15"/>
        <v>4</v>
      </c>
      <c r="R36" s="568">
        <f t="shared" si="15"/>
        <v>4</v>
      </c>
      <c r="S36" s="568">
        <f t="shared" si="15"/>
        <v>4</v>
      </c>
      <c r="T36" s="568">
        <f t="shared" si="15"/>
        <v>4</v>
      </c>
      <c r="U36" s="568">
        <f t="shared" si="15"/>
        <v>4</v>
      </c>
      <c r="V36" s="568">
        <f t="shared" si="15"/>
        <v>4</v>
      </c>
      <c r="W36" s="568">
        <f t="shared" si="15"/>
        <v>4</v>
      </c>
      <c r="X36" s="325">
        <v>2.34</v>
      </c>
      <c r="Y36" s="448">
        <f>ROUND($B$2*Y$33,2)</f>
        <v>2.8</v>
      </c>
      <c r="Z36" s="90">
        <v>22</v>
      </c>
      <c r="AG36" s="106" t="s">
        <v>270</v>
      </c>
      <c r="AH36" s="34"/>
      <c r="AI36" s="34"/>
    </row>
    <row r="37" spans="1:37" s="11" customFormat="1" ht="12" x14ac:dyDescent="0.2">
      <c r="A37" s="569" t="s">
        <v>162</v>
      </c>
      <c r="B37" s="451">
        <f>B34*$B$2</f>
        <v>2.055659145928149</v>
      </c>
      <c r="C37" s="451">
        <f t="shared" ref="C37:Y37" si="16">C34*$B$2</f>
        <v>2.459763080597785</v>
      </c>
      <c r="D37" s="451">
        <f t="shared" si="16"/>
        <v>2.459763080597785</v>
      </c>
      <c r="E37" s="451">
        <f t="shared" si="16"/>
        <v>2.8111578063974694</v>
      </c>
      <c r="F37" s="451">
        <f t="shared" si="16"/>
        <v>2.8111578063974694</v>
      </c>
      <c r="G37" s="451">
        <f t="shared" si="16"/>
        <v>2.8111578063974694</v>
      </c>
      <c r="H37" s="451">
        <f t="shared" si="16"/>
        <v>2.8111578063974694</v>
      </c>
      <c r="I37" s="451">
        <f t="shared" si="16"/>
        <v>2.8111578063974694</v>
      </c>
      <c r="J37" s="451">
        <f t="shared" si="16"/>
        <v>2.8111578063974694</v>
      </c>
      <c r="K37" s="451">
        <f t="shared" si="16"/>
        <v>2.8111578063974694</v>
      </c>
      <c r="L37" s="451">
        <f t="shared" si="16"/>
        <v>2.8111578063974694</v>
      </c>
      <c r="M37" s="451">
        <f t="shared" si="16"/>
        <v>2.8111578063974694</v>
      </c>
      <c r="N37" s="451">
        <f t="shared" si="16"/>
        <v>3.1625525321971528</v>
      </c>
      <c r="O37" s="451">
        <f t="shared" si="16"/>
        <v>3.1625525321971528</v>
      </c>
      <c r="P37" s="451">
        <f t="shared" si="16"/>
        <v>3.1625525321971528</v>
      </c>
      <c r="Q37" s="451">
        <f t="shared" si="16"/>
        <v>3.5139472579968363</v>
      </c>
      <c r="R37" s="451">
        <f t="shared" si="16"/>
        <v>3.5139472579968363</v>
      </c>
      <c r="S37" s="451">
        <f t="shared" si="16"/>
        <v>3.5139472579968363</v>
      </c>
      <c r="T37" s="451">
        <f t="shared" si="16"/>
        <v>3.5139472579968363</v>
      </c>
      <c r="U37" s="451">
        <f t="shared" si="16"/>
        <v>3.5139472579968363</v>
      </c>
      <c r="V37" s="451">
        <f t="shared" si="16"/>
        <v>3.5139472579968363</v>
      </c>
      <c r="W37" s="451">
        <f t="shared" si="16"/>
        <v>3.5139472579968363</v>
      </c>
      <c r="X37" s="451">
        <f t="shared" si="16"/>
        <v>2.055659145928149</v>
      </c>
      <c r="Y37" s="451">
        <f t="shared" si="16"/>
        <v>2.459763080597785</v>
      </c>
      <c r="Z37" s="90"/>
      <c r="AG37" s="34"/>
      <c r="AH37" s="34"/>
      <c r="AI37" s="34"/>
    </row>
    <row r="38" spans="1:37" s="11" customFormat="1" ht="12" x14ac:dyDescent="0.2">
      <c r="A38" s="570"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456"/>
      <c r="Z38" s="92">
        <v>23</v>
      </c>
      <c r="AF38" s="34"/>
      <c r="AG38" s="630" t="s">
        <v>164</v>
      </c>
      <c r="AH38" s="631"/>
      <c r="AI38" s="435" t="s">
        <v>146</v>
      </c>
      <c r="AJ38" s="87"/>
      <c r="AK38" s="7"/>
    </row>
    <row r="39" spans="1:37" ht="12" x14ac:dyDescent="0.2">
      <c r="A39" s="455" t="s">
        <v>165</v>
      </c>
      <c r="B39" s="456">
        <f t="shared" ref="B39:Y39" si="17">IF($B172&gt;=0.9, B$36,B$36*$B172)</f>
        <v>0.42202478938704363</v>
      </c>
      <c r="C39" s="456">
        <f t="shared" si="17"/>
        <v>0.50498692747167617</v>
      </c>
      <c r="D39" s="456">
        <f t="shared" si="17"/>
        <v>0.50498692747167617</v>
      </c>
      <c r="E39" s="456">
        <f t="shared" si="17"/>
        <v>0.57712791711048705</v>
      </c>
      <c r="F39" s="456">
        <f t="shared" si="17"/>
        <v>0.57712791711048705</v>
      </c>
      <c r="G39" s="456">
        <f t="shared" si="17"/>
        <v>0.57712791711048705</v>
      </c>
      <c r="H39" s="456">
        <f t="shared" si="17"/>
        <v>0.57712791711048705</v>
      </c>
      <c r="I39" s="456">
        <f t="shared" si="17"/>
        <v>0.57712791711048705</v>
      </c>
      <c r="J39" s="456">
        <f t="shared" si="17"/>
        <v>0.57712791711048705</v>
      </c>
      <c r="K39" s="456">
        <f t="shared" si="17"/>
        <v>0.57712791711048705</v>
      </c>
      <c r="L39" s="456">
        <f t="shared" si="17"/>
        <v>0.57712791711048705</v>
      </c>
      <c r="M39" s="456">
        <f t="shared" si="17"/>
        <v>0.57712791711048705</v>
      </c>
      <c r="N39" s="456">
        <f t="shared" si="17"/>
        <v>0.64926890674929794</v>
      </c>
      <c r="O39" s="456">
        <f t="shared" si="17"/>
        <v>0.64926890674929794</v>
      </c>
      <c r="P39" s="456">
        <f t="shared" si="17"/>
        <v>0.64926890674929794</v>
      </c>
      <c r="Q39" s="456">
        <f t="shared" si="17"/>
        <v>0.72140989638810882</v>
      </c>
      <c r="R39" s="456">
        <f t="shared" si="17"/>
        <v>0.72140989638810882</v>
      </c>
      <c r="S39" s="456">
        <f t="shared" si="17"/>
        <v>0.72140989638810882</v>
      </c>
      <c r="T39" s="456">
        <f t="shared" si="17"/>
        <v>0.72140989638810882</v>
      </c>
      <c r="U39" s="456">
        <f t="shared" si="17"/>
        <v>0.72140989638810882</v>
      </c>
      <c r="V39" s="456">
        <f t="shared" si="17"/>
        <v>0.72140989638810882</v>
      </c>
      <c r="W39" s="456">
        <f t="shared" si="17"/>
        <v>0.72140989638810882</v>
      </c>
      <c r="X39" s="453">
        <f t="shared" si="17"/>
        <v>0.42202478938704363</v>
      </c>
      <c r="Y39" s="456">
        <f t="shared" si="17"/>
        <v>0.50498692747167617</v>
      </c>
      <c r="Z39" s="90">
        <v>24</v>
      </c>
      <c r="AA39" s="11"/>
      <c r="AB39" s="11"/>
      <c r="AC39" s="11"/>
      <c r="AD39" s="11"/>
      <c r="AE39" s="11"/>
      <c r="AF39" s="34"/>
      <c r="AG39" s="436" t="s">
        <v>166</v>
      </c>
      <c r="AH39" s="437">
        <f>HLOOKUP($AH$20,$B$14:$Z$67,Z55,FALSE)</f>
        <v>0</v>
      </c>
      <c r="AI39" s="437"/>
      <c r="AJ39" s="87"/>
    </row>
    <row r="40" spans="1:37" ht="12" x14ac:dyDescent="0.2">
      <c r="A40" s="455" t="s">
        <v>167</v>
      </c>
      <c r="B40" s="456">
        <f t="shared" ref="B40:Y40" si="18">IF($B173&gt;=0.9, B$36,B$36*$B173)</f>
        <v>1.9090022271714919</v>
      </c>
      <c r="C40" s="456">
        <f t="shared" si="18"/>
        <v>2.2842761692650329</v>
      </c>
      <c r="D40" s="456">
        <f t="shared" si="18"/>
        <v>2.2842761692650329</v>
      </c>
      <c r="E40" s="456">
        <f t="shared" si="18"/>
        <v>2.6106013363028953</v>
      </c>
      <c r="F40" s="456">
        <f t="shared" si="18"/>
        <v>2.6106013363028953</v>
      </c>
      <c r="G40" s="456">
        <f t="shared" si="18"/>
        <v>2.6106013363028953</v>
      </c>
      <c r="H40" s="456">
        <f t="shared" si="18"/>
        <v>2.6106013363028953</v>
      </c>
      <c r="I40" s="456">
        <f t="shared" si="18"/>
        <v>2.6106013363028953</v>
      </c>
      <c r="J40" s="456">
        <f t="shared" si="18"/>
        <v>2.6106013363028953</v>
      </c>
      <c r="K40" s="456">
        <f t="shared" si="18"/>
        <v>2.6106013363028953</v>
      </c>
      <c r="L40" s="456">
        <f t="shared" si="18"/>
        <v>2.6106013363028953</v>
      </c>
      <c r="M40" s="456">
        <f t="shared" si="18"/>
        <v>2.6106013363028953</v>
      </c>
      <c r="N40" s="456">
        <f t="shared" si="18"/>
        <v>2.9369265033407568</v>
      </c>
      <c r="O40" s="456">
        <f t="shared" si="18"/>
        <v>2.9369265033407568</v>
      </c>
      <c r="P40" s="456">
        <f t="shared" si="18"/>
        <v>2.9369265033407568</v>
      </c>
      <c r="Q40" s="456">
        <f t="shared" si="18"/>
        <v>3.2632516703786187</v>
      </c>
      <c r="R40" s="456">
        <f t="shared" si="18"/>
        <v>3.2632516703786187</v>
      </c>
      <c r="S40" s="456">
        <f t="shared" si="18"/>
        <v>3.2632516703786187</v>
      </c>
      <c r="T40" s="456">
        <f t="shared" si="18"/>
        <v>3.2632516703786187</v>
      </c>
      <c r="U40" s="456">
        <f t="shared" si="18"/>
        <v>3.2632516703786187</v>
      </c>
      <c r="V40" s="456">
        <f t="shared" si="18"/>
        <v>3.2632516703786187</v>
      </c>
      <c r="W40" s="456">
        <f t="shared" si="18"/>
        <v>3.2632516703786187</v>
      </c>
      <c r="X40" s="453">
        <f t="shared" si="18"/>
        <v>1.9090022271714919</v>
      </c>
      <c r="Y40" s="456">
        <f t="shared" si="18"/>
        <v>2.2842761692650329</v>
      </c>
      <c r="Z40" s="90">
        <v>25</v>
      </c>
      <c r="AA40" s="11"/>
      <c r="AB40" s="11"/>
      <c r="AC40" s="11"/>
      <c r="AF40" s="34"/>
      <c r="AG40" s="438">
        <v>8</v>
      </c>
      <c r="AH40" s="432">
        <f>IF(AH39-$AG40&lt;0,0,AH39-$AG40)</f>
        <v>0</v>
      </c>
      <c r="AI40" s="432">
        <f>IF(ISERROR((AH40/$AH$52)*$AH$22),0,(AH40/$AH$52)*$AH$22)</f>
        <v>0</v>
      </c>
      <c r="AJ40" s="87"/>
    </row>
    <row r="41" spans="1:37" ht="12" x14ac:dyDescent="0.2">
      <c r="A41" s="455" t="s">
        <v>168</v>
      </c>
      <c r="B41" s="456">
        <f t="shared" ref="B41:Y41" si="19">IF($B174&gt;=0.9, B$36,B$36*$B174)</f>
        <v>1.9179752106129557</v>
      </c>
      <c r="C41" s="456">
        <f t="shared" si="19"/>
        <v>2.2950130725283233</v>
      </c>
      <c r="D41" s="456">
        <f t="shared" si="19"/>
        <v>2.2950130725283233</v>
      </c>
      <c r="E41" s="456">
        <f t="shared" si="19"/>
        <v>2.6228720828895127</v>
      </c>
      <c r="F41" s="456">
        <f t="shared" si="19"/>
        <v>2.6228720828895127</v>
      </c>
      <c r="G41" s="456">
        <f t="shared" si="19"/>
        <v>2.6228720828895127</v>
      </c>
      <c r="H41" s="456">
        <f t="shared" si="19"/>
        <v>2.6228720828895127</v>
      </c>
      <c r="I41" s="456">
        <f t="shared" si="19"/>
        <v>2.6228720828895127</v>
      </c>
      <c r="J41" s="456">
        <f t="shared" si="19"/>
        <v>2.6228720828895127</v>
      </c>
      <c r="K41" s="456">
        <f t="shared" si="19"/>
        <v>2.6228720828895127</v>
      </c>
      <c r="L41" s="456">
        <f t="shared" si="19"/>
        <v>2.6228720828895127</v>
      </c>
      <c r="M41" s="456">
        <f t="shared" si="19"/>
        <v>2.6228720828895127</v>
      </c>
      <c r="N41" s="456">
        <f t="shared" si="19"/>
        <v>2.9507310932507016</v>
      </c>
      <c r="O41" s="456">
        <f t="shared" si="19"/>
        <v>2.9507310932507016</v>
      </c>
      <c r="P41" s="456">
        <f t="shared" si="19"/>
        <v>2.9507310932507016</v>
      </c>
      <c r="Q41" s="456">
        <f t="shared" si="19"/>
        <v>3.2785901036118905</v>
      </c>
      <c r="R41" s="456">
        <f t="shared" si="19"/>
        <v>3.2785901036118905</v>
      </c>
      <c r="S41" s="456">
        <f t="shared" si="19"/>
        <v>3.2785901036118905</v>
      </c>
      <c r="T41" s="456">
        <f t="shared" si="19"/>
        <v>3.2785901036118905</v>
      </c>
      <c r="U41" s="456">
        <f t="shared" si="19"/>
        <v>3.2785901036118905</v>
      </c>
      <c r="V41" s="456">
        <f t="shared" si="19"/>
        <v>3.2785901036118905</v>
      </c>
      <c r="W41" s="456">
        <f t="shared" si="19"/>
        <v>3.2785901036118905</v>
      </c>
      <c r="X41" s="453">
        <f t="shared" si="19"/>
        <v>1.9179752106129557</v>
      </c>
      <c r="Y41" s="456">
        <f t="shared" si="19"/>
        <v>2.2950130725283233</v>
      </c>
      <c r="Z41" s="92">
        <v>26</v>
      </c>
      <c r="AF41" s="34"/>
      <c r="AG41" s="436" t="s">
        <v>169</v>
      </c>
      <c r="AH41" s="437">
        <f>HLOOKUP($AH$20,$B$14:$Z$67,Z57,FALSE)</f>
        <v>3</v>
      </c>
      <c r="AI41" s="437"/>
      <c r="AJ41" s="87"/>
    </row>
    <row r="42" spans="1:37" ht="12" x14ac:dyDescent="0.2">
      <c r="A42" s="421" t="s">
        <v>170</v>
      </c>
      <c r="B42" s="456">
        <f t="shared" ref="B42:Y42" si="20">IF($B175&gt;=0.9, B$36,B$36*$B175)</f>
        <v>1.9090022271714919</v>
      </c>
      <c r="C42" s="456">
        <f t="shared" si="20"/>
        <v>2.2842761692650329</v>
      </c>
      <c r="D42" s="456">
        <f t="shared" si="20"/>
        <v>2.2842761692650329</v>
      </c>
      <c r="E42" s="456">
        <f t="shared" si="20"/>
        <v>2.6106013363028953</v>
      </c>
      <c r="F42" s="456">
        <f t="shared" si="20"/>
        <v>2.6106013363028953</v>
      </c>
      <c r="G42" s="456">
        <f t="shared" si="20"/>
        <v>2.6106013363028953</v>
      </c>
      <c r="H42" s="456">
        <f t="shared" si="20"/>
        <v>2.6106013363028953</v>
      </c>
      <c r="I42" s="456">
        <f t="shared" si="20"/>
        <v>2.6106013363028953</v>
      </c>
      <c r="J42" s="456">
        <f t="shared" si="20"/>
        <v>2.6106013363028953</v>
      </c>
      <c r="K42" s="456">
        <f t="shared" si="20"/>
        <v>2.6106013363028953</v>
      </c>
      <c r="L42" s="456">
        <f t="shared" si="20"/>
        <v>2.6106013363028953</v>
      </c>
      <c r="M42" s="456">
        <f t="shared" si="20"/>
        <v>2.6106013363028953</v>
      </c>
      <c r="N42" s="456">
        <f t="shared" si="20"/>
        <v>2.9369265033407568</v>
      </c>
      <c r="O42" s="456">
        <f t="shared" si="20"/>
        <v>2.9369265033407568</v>
      </c>
      <c r="P42" s="456">
        <f t="shared" si="20"/>
        <v>2.9369265033407568</v>
      </c>
      <c r="Q42" s="456">
        <f t="shared" si="20"/>
        <v>3.2632516703786187</v>
      </c>
      <c r="R42" s="456">
        <f t="shared" si="20"/>
        <v>3.2632516703786187</v>
      </c>
      <c r="S42" s="456">
        <f t="shared" si="20"/>
        <v>3.2632516703786187</v>
      </c>
      <c r="T42" s="456">
        <f t="shared" si="20"/>
        <v>3.2632516703786187</v>
      </c>
      <c r="U42" s="456">
        <f t="shared" si="20"/>
        <v>3.2632516703786187</v>
      </c>
      <c r="V42" s="456">
        <f t="shared" si="20"/>
        <v>3.2632516703786187</v>
      </c>
      <c r="W42" s="456">
        <f t="shared" si="20"/>
        <v>3.2632516703786187</v>
      </c>
      <c r="X42" s="453">
        <f t="shared" si="20"/>
        <v>1.9090022271714919</v>
      </c>
      <c r="Y42" s="456">
        <f t="shared" si="20"/>
        <v>2.2842761692650329</v>
      </c>
      <c r="Z42" s="90">
        <v>27</v>
      </c>
      <c r="AF42" s="109"/>
      <c r="AG42" s="438">
        <v>6</v>
      </c>
      <c r="AH42" s="432">
        <f>IF(AH41-$AG42&lt;0,0,AH41-$AG42)</f>
        <v>0</v>
      </c>
      <c r="AI42" s="432">
        <f>IF(ISERROR((AH42/$AH$52)*$AH$22),0,(AH42/$AH$52)*$AH$22)</f>
        <v>0</v>
      </c>
      <c r="AJ42" s="87"/>
    </row>
    <row r="43" spans="1:37" ht="12" x14ac:dyDescent="0.2">
      <c r="A43" s="455" t="s">
        <v>171</v>
      </c>
      <c r="B43" s="456">
        <f t="shared" ref="B43:Y43" si="21">IF($B176&gt;=0.9, B$36,B$36*$B176)</f>
        <v>1.9179752106129557</v>
      </c>
      <c r="C43" s="456">
        <f t="shared" si="21"/>
        <v>2.2950130725283233</v>
      </c>
      <c r="D43" s="456">
        <f t="shared" si="21"/>
        <v>2.2950130725283233</v>
      </c>
      <c r="E43" s="456">
        <f t="shared" si="21"/>
        <v>2.6228720828895127</v>
      </c>
      <c r="F43" s="456">
        <f t="shared" si="21"/>
        <v>2.6228720828895127</v>
      </c>
      <c r="G43" s="456">
        <f t="shared" si="21"/>
        <v>2.6228720828895127</v>
      </c>
      <c r="H43" s="456">
        <f t="shared" si="21"/>
        <v>2.6228720828895127</v>
      </c>
      <c r="I43" s="456">
        <f t="shared" si="21"/>
        <v>2.6228720828895127</v>
      </c>
      <c r="J43" s="456">
        <f t="shared" si="21"/>
        <v>2.6228720828895127</v>
      </c>
      <c r="K43" s="456">
        <f t="shared" si="21"/>
        <v>2.6228720828895127</v>
      </c>
      <c r="L43" s="456">
        <f t="shared" si="21"/>
        <v>2.6228720828895127</v>
      </c>
      <c r="M43" s="456">
        <f t="shared" si="21"/>
        <v>2.6228720828895127</v>
      </c>
      <c r="N43" s="456">
        <f t="shared" si="21"/>
        <v>2.9507310932507016</v>
      </c>
      <c r="O43" s="456">
        <f t="shared" si="21"/>
        <v>2.9507310932507016</v>
      </c>
      <c r="P43" s="456">
        <f t="shared" si="21"/>
        <v>2.9507310932507016</v>
      </c>
      <c r="Q43" s="456">
        <f t="shared" si="21"/>
        <v>3.2785901036118905</v>
      </c>
      <c r="R43" s="456">
        <f t="shared" si="21"/>
        <v>3.2785901036118905</v>
      </c>
      <c r="S43" s="456">
        <f t="shared" si="21"/>
        <v>3.2785901036118905</v>
      </c>
      <c r="T43" s="456">
        <f t="shared" si="21"/>
        <v>3.2785901036118905</v>
      </c>
      <c r="U43" s="456">
        <f t="shared" si="21"/>
        <v>3.2785901036118905</v>
      </c>
      <c r="V43" s="456">
        <f t="shared" si="21"/>
        <v>3.2785901036118905</v>
      </c>
      <c r="W43" s="456">
        <f t="shared" si="21"/>
        <v>3.2785901036118905</v>
      </c>
      <c r="X43" s="453">
        <f t="shared" si="21"/>
        <v>1.9179752106129557</v>
      </c>
      <c r="Y43" s="456">
        <f t="shared" si="21"/>
        <v>2.2950130725283233</v>
      </c>
      <c r="Z43" s="90">
        <v>28</v>
      </c>
      <c r="AF43" s="107"/>
      <c r="AG43" s="436" t="s">
        <v>172</v>
      </c>
      <c r="AH43" s="437">
        <f>HLOOKUP($AH$20,$B$14:$Z$67,Z59,FALSE)</f>
        <v>0</v>
      </c>
      <c r="AI43" s="437"/>
      <c r="AJ43" s="87"/>
    </row>
    <row r="44" spans="1:37" ht="12" x14ac:dyDescent="0.2">
      <c r="A44" s="455" t="s">
        <v>173</v>
      </c>
      <c r="B44" s="456">
        <f t="shared" ref="B44:Y44" si="22">IF(B$13="Deploy",B$36,IF($B177&gt;=0.9, B$36,B$36*$B177))</f>
        <v>0.42202478938704363</v>
      </c>
      <c r="C44" s="456">
        <f t="shared" si="22"/>
        <v>0.50498692747167617</v>
      </c>
      <c r="D44" s="456">
        <f t="shared" si="22"/>
        <v>0.50498692747167617</v>
      </c>
      <c r="E44" s="456">
        <f t="shared" si="22"/>
        <v>0.57712791711048705</v>
      </c>
      <c r="F44" s="456">
        <f t="shared" si="22"/>
        <v>0.57712791711048705</v>
      </c>
      <c r="G44" s="456">
        <f t="shared" si="22"/>
        <v>0.57712791711048705</v>
      </c>
      <c r="H44" s="456">
        <f t="shared" si="22"/>
        <v>0.57712791711048705</v>
      </c>
      <c r="I44" s="456">
        <f t="shared" si="22"/>
        <v>0.57712791711048705</v>
      </c>
      <c r="J44" s="456">
        <f t="shared" si="22"/>
        <v>0.57712791711048705</v>
      </c>
      <c r="K44" s="456">
        <f t="shared" si="22"/>
        <v>0.57712791711048705</v>
      </c>
      <c r="L44" s="456">
        <f t="shared" si="22"/>
        <v>0.57712791711048705</v>
      </c>
      <c r="M44" s="456">
        <f t="shared" si="22"/>
        <v>0.57712791711048705</v>
      </c>
      <c r="N44" s="456">
        <f t="shared" si="22"/>
        <v>0.64926890674929794</v>
      </c>
      <c r="O44" s="456">
        <f t="shared" si="22"/>
        <v>0.64926890674929794</v>
      </c>
      <c r="P44" s="456">
        <f t="shared" si="22"/>
        <v>0.64926890674929794</v>
      </c>
      <c r="Q44" s="456">
        <f t="shared" si="22"/>
        <v>0.72140989638810882</v>
      </c>
      <c r="R44" s="456">
        <f t="shared" si="22"/>
        <v>0.72140989638810882</v>
      </c>
      <c r="S44" s="456">
        <f t="shared" si="22"/>
        <v>0.72140989638810882</v>
      </c>
      <c r="T44" s="456">
        <f t="shared" si="22"/>
        <v>4</v>
      </c>
      <c r="U44" s="456">
        <f t="shared" si="22"/>
        <v>4</v>
      </c>
      <c r="V44" s="456">
        <f t="shared" si="22"/>
        <v>4</v>
      </c>
      <c r="W44" s="456">
        <f t="shared" si="22"/>
        <v>0.72140989638810882</v>
      </c>
      <c r="X44" s="453">
        <f t="shared" si="22"/>
        <v>0.42202478938704363</v>
      </c>
      <c r="Y44" s="456">
        <f t="shared" si="22"/>
        <v>0.50498692747167617</v>
      </c>
      <c r="Z44" s="92">
        <v>29</v>
      </c>
      <c r="AF44" s="107"/>
      <c r="AG44" s="438">
        <v>6</v>
      </c>
      <c r="AH44" s="432">
        <f>IF(AH43-$AG44&lt;0,0,AH43-$AG44)</f>
        <v>0</v>
      </c>
      <c r="AI44" s="432">
        <f>IF(ISERROR((AH44/$AH$52)*$AH$22),0,(AH44/$AH$52)*$AH$22)</f>
        <v>0</v>
      </c>
      <c r="AJ44" s="87"/>
    </row>
    <row r="45" spans="1:37" ht="12" x14ac:dyDescent="0.2">
      <c r="A45" s="455" t="s">
        <v>174</v>
      </c>
      <c r="B45" s="456">
        <f t="shared" ref="B45:Y45" si="23">IF($B178&gt;=0.9, B$36,B$36*$B178)</f>
        <v>1.9179752106129557</v>
      </c>
      <c r="C45" s="456">
        <f t="shared" si="23"/>
        <v>2.2950130725283233</v>
      </c>
      <c r="D45" s="456">
        <f t="shared" si="23"/>
        <v>2.2950130725283233</v>
      </c>
      <c r="E45" s="456">
        <f t="shared" si="23"/>
        <v>2.6228720828895127</v>
      </c>
      <c r="F45" s="456">
        <f t="shared" si="23"/>
        <v>2.6228720828895127</v>
      </c>
      <c r="G45" s="456">
        <f t="shared" si="23"/>
        <v>2.6228720828895127</v>
      </c>
      <c r="H45" s="456">
        <f t="shared" si="23"/>
        <v>2.6228720828895127</v>
      </c>
      <c r="I45" s="456">
        <f t="shared" si="23"/>
        <v>2.6228720828895127</v>
      </c>
      <c r="J45" s="456">
        <f t="shared" si="23"/>
        <v>2.6228720828895127</v>
      </c>
      <c r="K45" s="456">
        <f t="shared" si="23"/>
        <v>2.6228720828895127</v>
      </c>
      <c r="L45" s="456">
        <f t="shared" si="23"/>
        <v>2.6228720828895127</v>
      </c>
      <c r="M45" s="456">
        <f t="shared" si="23"/>
        <v>2.6228720828895127</v>
      </c>
      <c r="N45" s="456">
        <f t="shared" si="23"/>
        <v>2.9507310932507016</v>
      </c>
      <c r="O45" s="456">
        <f t="shared" si="23"/>
        <v>2.9507310932507016</v>
      </c>
      <c r="P45" s="456">
        <f t="shared" si="23"/>
        <v>2.9507310932507016</v>
      </c>
      <c r="Q45" s="456">
        <f t="shared" si="23"/>
        <v>3.2785901036118905</v>
      </c>
      <c r="R45" s="456">
        <f t="shared" si="23"/>
        <v>3.2785901036118905</v>
      </c>
      <c r="S45" s="456">
        <f t="shared" si="23"/>
        <v>3.2785901036118905</v>
      </c>
      <c r="T45" s="456">
        <f t="shared" si="23"/>
        <v>3.2785901036118905</v>
      </c>
      <c r="U45" s="456">
        <f t="shared" si="23"/>
        <v>3.2785901036118905</v>
      </c>
      <c r="V45" s="456">
        <f t="shared" si="23"/>
        <v>3.2785901036118905</v>
      </c>
      <c r="W45" s="456">
        <f t="shared" si="23"/>
        <v>3.2785901036118905</v>
      </c>
      <c r="X45" s="453">
        <f t="shared" si="23"/>
        <v>1.9179752106129557</v>
      </c>
      <c r="Y45" s="456">
        <f t="shared" si="23"/>
        <v>2.2950130725283233</v>
      </c>
      <c r="Z45" s="90">
        <v>30</v>
      </c>
      <c r="AF45" s="107"/>
      <c r="AG45" s="436" t="s">
        <v>175</v>
      </c>
      <c r="AH45" s="437">
        <f>HLOOKUP($AH$20,$B$14:$Z$67,Z61,FALSE)</f>
        <v>0</v>
      </c>
      <c r="AI45" s="437"/>
      <c r="AJ45" s="87"/>
    </row>
    <row r="46" spans="1:37" ht="12" x14ac:dyDescent="0.2">
      <c r="A46" s="457" t="s">
        <v>176</v>
      </c>
      <c r="B46" s="456">
        <f t="shared" ref="B46:Y46" si="24">IF(B$13="Deploy",B$36,IF($B179&gt;=0.9, B$36,B$36*$B179))</f>
        <v>0.42202478938704363</v>
      </c>
      <c r="C46" s="456">
        <f t="shared" si="24"/>
        <v>0.50498692747167617</v>
      </c>
      <c r="D46" s="456">
        <f t="shared" si="24"/>
        <v>0.50498692747167617</v>
      </c>
      <c r="E46" s="456">
        <f t="shared" si="24"/>
        <v>0.57712791711048705</v>
      </c>
      <c r="F46" s="456">
        <f t="shared" si="24"/>
        <v>0.57712791711048705</v>
      </c>
      <c r="G46" s="456">
        <f t="shared" si="24"/>
        <v>0.57712791711048705</v>
      </c>
      <c r="H46" s="456">
        <f t="shared" si="24"/>
        <v>0.57712791711048705</v>
      </c>
      <c r="I46" s="456">
        <f t="shared" si="24"/>
        <v>0.57712791711048705</v>
      </c>
      <c r="J46" s="456">
        <f t="shared" si="24"/>
        <v>0.57712791711048705</v>
      </c>
      <c r="K46" s="456">
        <f t="shared" si="24"/>
        <v>0.57712791711048705</v>
      </c>
      <c r="L46" s="456">
        <f t="shared" si="24"/>
        <v>0.57712791711048705</v>
      </c>
      <c r="M46" s="456">
        <f t="shared" si="24"/>
        <v>0.57712791711048705</v>
      </c>
      <c r="N46" s="456">
        <f t="shared" si="24"/>
        <v>0.64926890674929794</v>
      </c>
      <c r="O46" s="456">
        <f t="shared" si="24"/>
        <v>0.64926890674929794</v>
      </c>
      <c r="P46" s="456">
        <f t="shared" si="24"/>
        <v>0.64926890674929794</v>
      </c>
      <c r="Q46" s="456">
        <f t="shared" si="24"/>
        <v>0.72140989638810882</v>
      </c>
      <c r="R46" s="456">
        <f t="shared" si="24"/>
        <v>0.72140989638810882</v>
      </c>
      <c r="S46" s="456">
        <f t="shared" si="24"/>
        <v>0.72140989638810882</v>
      </c>
      <c r="T46" s="456">
        <f t="shared" si="24"/>
        <v>4</v>
      </c>
      <c r="U46" s="456">
        <f t="shared" si="24"/>
        <v>4</v>
      </c>
      <c r="V46" s="456">
        <f t="shared" si="24"/>
        <v>4</v>
      </c>
      <c r="W46" s="456">
        <f t="shared" si="24"/>
        <v>0.72140989638810882</v>
      </c>
      <c r="X46" s="453">
        <f t="shared" si="24"/>
        <v>0.42202478938704363</v>
      </c>
      <c r="Y46" s="456">
        <f t="shared" si="24"/>
        <v>0.50498692747167617</v>
      </c>
      <c r="Z46" s="90">
        <v>31</v>
      </c>
      <c r="AF46" s="107"/>
      <c r="AG46" s="438">
        <v>7</v>
      </c>
      <c r="AH46" s="432">
        <f>IF(AH45-$AG46&lt;0,0,AH45-$AG46)</f>
        <v>0</v>
      </c>
      <c r="AI46" s="432">
        <f>IF(ISERROR((AH46/$AH$52)*$AH$22),0,(AH46/$AH$52)*$AH$22)</f>
        <v>0</v>
      </c>
      <c r="AJ46" s="87"/>
    </row>
    <row r="47" spans="1:37" x14ac:dyDescent="0.2">
      <c r="A47" s="458" t="s">
        <v>177</v>
      </c>
      <c r="B47" s="456">
        <f t="shared" ref="B47:Y47" si="25">IF(B$13="Deploy",B$36,IF($B180&gt;=0.9, B$36,B$36*$B180))</f>
        <v>2.34</v>
      </c>
      <c r="C47" s="456">
        <f t="shared" si="25"/>
        <v>2.8</v>
      </c>
      <c r="D47" s="456">
        <f t="shared" si="25"/>
        <v>2.8</v>
      </c>
      <c r="E47" s="456">
        <f t="shared" si="25"/>
        <v>3.2</v>
      </c>
      <c r="F47" s="456">
        <f t="shared" si="25"/>
        <v>3.2</v>
      </c>
      <c r="G47" s="456">
        <f t="shared" si="25"/>
        <v>3.2</v>
      </c>
      <c r="H47" s="456">
        <f t="shared" si="25"/>
        <v>3.2</v>
      </c>
      <c r="I47" s="456">
        <f t="shared" si="25"/>
        <v>3.2</v>
      </c>
      <c r="J47" s="456">
        <f t="shared" si="25"/>
        <v>3.2</v>
      </c>
      <c r="K47" s="456">
        <f t="shared" si="25"/>
        <v>3.2</v>
      </c>
      <c r="L47" s="456">
        <f t="shared" si="25"/>
        <v>3.2</v>
      </c>
      <c r="M47" s="456">
        <f t="shared" si="25"/>
        <v>3.2</v>
      </c>
      <c r="N47" s="456">
        <f t="shared" si="25"/>
        <v>3.6</v>
      </c>
      <c r="O47" s="456">
        <f t="shared" si="25"/>
        <v>3.6</v>
      </c>
      <c r="P47" s="456">
        <f t="shared" si="25"/>
        <v>3.6</v>
      </c>
      <c r="Q47" s="456">
        <f t="shared" si="25"/>
        <v>4</v>
      </c>
      <c r="R47" s="456">
        <f t="shared" si="25"/>
        <v>4</v>
      </c>
      <c r="S47" s="456">
        <f t="shared" si="25"/>
        <v>4</v>
      </c>
      <c r="T47" s="456">
        <f t="shared" si="25"/>
        <v>4</v>
      </c>
      <c r="U47" s="456">
        <f t="shared" si="25"/>
        <v>4</v>
      </c>
      <c r="V47" s="456">
        <f t="shared" si="25"/>
        <v>4</v>
      </c>
      <c r="W47" s="456">
        <f t="shared" si="25"/>
        <v>4</v>
      </c>
      <c r="X47" s="453">
        <f t="shared" si="25"/>
        <v>2.34</v>
      </c>
      <c r="Y47" s="456">
        <f t="shared" si="25"/>
        <v>2.8</v>
      </c>
      <c r="Z47" s="92">
        <v>32</v>
      </c>
      <c r="AF47" s="107"/>
      <c r="AG47" s="436" t="s">
        <v>178</v>
      </c>
      <c r="AH47" s="437">
        <f>HLOOKUP($AH$20,$B$14:$Z$67,Z63,FALSE)</f>
        <v>3</v>
      </c>
      <c r="AI47" s="437"/>
      <c r="AJ47" s="34"/>
      <c r="AK47" s="11"/>
    </row>
    <row r="48" spans="1:37" s="11" customFormat="1" ht="12" x14ac:dyDescent="0.2">
      <c r="A48" s="570" t="s">
        <v>179</v>
      </c>
      <c r="B48" s="449"/>
      <c r="C48" s="176"/>
      <c r="D48" s="176"/>
      <c r="E48" s="176"/>
      <c r="F48" s="176"/>
      <c r="G48" s="176"/>
      <c r="H48" s="176"/>
      <c r="I48" s="176"/>
      <c r="J48" s="176"/>
      <c r="K48" s="176"/>
      <c r="L48" s="176"/>
      <c r="M48" s="176"/>
      <c r="N48" s="176"/>
      <c r="O48" s="176"/>
      <c r="P48" s="176"/>
      <c r="Q48" s="176"/>
      <c r="R48" s="176"/>
      <c r="S48" s="176"/>
      <c r="T48" s="176"/>
      <c r="U48" s="176"/>
      <c r="V48" s="176"/>
      <c r="W48" s="176"/>
      <c r="X48" s="176"/>
      <c r="Y48" s="448"/>
      <c r="Z48" s="90">
        <v>33</v>
      </c>
      <c r="AA48" s="7"/>
      <c r="AB48" s="7"/>
      <c r="AC48" s="7"/>
      <c r="AD48" s="7"/>
      <c r="AE48" s="7"/>
      <c r="AF48" s="107"/>
      <c r="AG48" s="438">
        <v>4</v>
      </c>
      <c r="AH48" s="432">
        <f>IF(AH47-$AG48&lt;0,0,AH47-$AG48)</f>
        <v>0</v>
      </c>
      <c r="AI48" s="432">
        <f>IF(ISERROR((AH48/$AH$52)*$AH$22),0,(AH48/$AH$52)*$AH$22)</f>
        <v>0</v>
      </c>
      <c r="AJ48" s="87"/>
    </row>
    <row r="49" spans="1:36" s="11" customFormat="1" ht="12" x14ac:dyDescent="0.2">
      <c r="A49" s="571" t="s">
        <v>180</v>
      </c>
      <c r="B49" s="572">
        <f>ROUNDUP(B$35*2,0)</f>
        <v>7</v>
      </c>
      <c r="C49" s="572">
        <f t="shared" ref="C49:D49" si="26">ROUNDUP(C$35*2,0)</f>
        <v>7</v>
      </c>
      <c r="D49" s="572">
        <f t="shared" si="26"/>
        <v>7</v>
      </c>
      <c r="E49" s="572">
        <f>ROUNDUP(E$35*3,0)</f>
        <v>12</v>
      </c>
      <c r="F49" s="572">
        <f t="shared" ref="F49:M49" si="27">ROUNDUP(F$35*3,0)</f>
        <v>12</v>
      </c>
      <c r="G49" s="572">
        <f t="shared" si="27"/>
        <v>12</v>
      </c>
      <c r="H49" s="572">
        <f t="shared" si="27"/>
        <v>12</v>
      </c>
      <c r="I49" s="572">
        <f t="shared" si="27"/>
        <v>12</v>
      </c>
      <c r="J49" s="572">
        <f t="shared" si="27"/>
        <v>12</v>
      </c>
      <c r="K49" s="572">
        <f t="shared" si="27"/>
        <v>12</v>
      </c>
      <c r="L49" s="572">
        <f t="shared" si="27"/>
        <v>12</v>
      </c>
      <c r="M49" s="572">
        <f t="shared" si="27"/>
        <v>12</v>
      </c>
      <c r="N49" s="572">
        <f>ROUNDUP(3*N$35,0)+1</f>
        <v>15</v>
      </c>
      <c r="O49" s="572">
        <f t="shared" ref="O49:P49" si="28">ROUNDUP(3*O$35,0)+1</f>
        <v>15</v>
      </c>
      <c r="P49" s="572">
        <f t="shared" si="28"/>
        <v>15</v>
      </c>
      <c r="Q49" s="572">
        <f>ROUNDUP(Q$35*4,0)-2</f>
        <v>18</v>
      </c>
      <c r="R49" s="572">
        <f>ROUNDUP(R$35*4,0)-2</f>
        <v>18</v>
      </c>
      <c r="S49" s="572">
        <f>ROUNDUP(S$35*4,0)</f>
        <v>20</v>
      </c>
      <c r="T49" s="572">
        <f t="shared" ref="T49:W49" si="29">ROUNDUP(T$35*4,0)</f>
        <v>20</v>
      </c>
      <c r="U49" s="572">
        <f t="shared" si="29"/>
        <v>20</v>
      </c>
      <c r="V49" s="572">
        <f t="shared" si="29"/>
        <v>20</v>
      </c>
      <c r="W49" s="572">
        <f t="shared" si="29"/>
        <v>20</v>
      </c>
      <c r="X49" s="573">
        <f>ROUNDUP(X$35*4,0)-2</f>
        <v>18</v>
      </c>
      <c r="Y49" s="572">
        <v>7</v>
      </c>
      <c r="Z49" s="90">
        <v>34</v>
      </c>
      <c r="AA49" s="7"/>
      <c r="AB49" s="7"/>
      <c r="AC49" s="7"/>
      <c r="AF49" s="107"/>
      <c r="AG49" s="436" t="s">
        <v>181</v>
      </c>
      <c r="AH49" s="437">
        <f>HLOOKUP($AH$20,$B$14:$Z$67,Z65,FALSE)</f>
        <v>3</v>
      </c>
      <c r="AI49" s="437"/>
      <c r="AJ49" s="87"/>
    </row>
    <row r="50" spans="1:36" s="11" customFormat="1" thickBot="1" x14ac:dyDescent="0.25">
      <c r="A50" s="571" t="s">
        <v>148</v>
      </c>
      <c r="B50" s="572">
        <f>ROUNDUP(B$35*2,0)-1</f>
        <v>6</v>
      </c>
      <c r="C50" s="572">
        <f t="shared" ref="C50:D50" si="30">ROUNDUP(C$35*2,0)-1</f>
        <v>6</v>
      </c>
      <c r="D50" s="572">
        <f t="shared" si="30"/>
        <v>6</v>
      </c>
      <c r="E50" s="572">
        <f>ROUNDUP(E$35*3,0)-1</f>
        <v>11</v>
      </c>
      <c r="F50" s="572">
        <f t="shared" ref="F50:M50" si="31">ROUNDUP(F$35*3,0)-1</f>
        <v>11</v>
      </c>
      <c r="G50" s="572">
        <f t="shared" si="31"/>
        <v>11</v>
      </c>
      <c r="H50" s="572">
        <f t="shared" si="31"/>
        <v>11</v>
      </c>
      <c r="I50" s="572">
        <f t="shared" si="31"/>
        <v>11</v>
      </c>
      <c r="J50" s="572">
        <f t="shared" si="31"/>
        <v>11</v>
      </c>
      <c r="K50" s="572">
        <f t="shared" si="31"/>
        <v>11</v>
      </c>
      <c r="L50" s="572">
        <f t="shared" si="31"/>
        <v>11</v>
      </c>
      <c r="M50" s="572">
        <f t="shared" si="31"/>
        <v>11</v>
      </c>
      <c r="N50" s="572">
        <f>ROUNDUP(3*N$35,0)</f>
        <v>14</v>
      </c>
      <c r="O50" s="572">
        <f t="shared" ref="O50:P50" si="32">ROUNDUP(3*O$35,0)</f>
        <v>14</v>
      </c>
      <c r="P50" s="572">
        <f t="shared" si="32"/>
        <v>14</v>
      </c>
      <c r="Q50" s="572">
        <f>ROUNDUP(Q$35*3,0)+1</f>
        <v>16</v>
      </c>
      <c r="R50" s="572">
        <f>ROUNDUP(R$35*3,0)+1</f>
        <v>16</v>
      </c>
      <c r="S50" s="572">
        <f>ROUNDUP(S$35*3,0)+2</f>
        <v>17</v>
      </c>
      <c r="T50" s="572">
        <f t="shared" ref="T50:W50" si="33">ROUNDUP(T$35*3,0)+2</f>
        <v>17</v>
      </c>
      <c r="U50" s="572">
        <f t="shared" si="33"/>
        <v>17</v>
      </c>
      <c r="V50" s="572">
        <f t="shared" si="33"/>
        <v>17</v>
      </c>
      <c r="W50" s="572">
        <f t="shared" si="33"/>
        <v>17</v>
      </c>
      <c r="X50" s="573">
        <f>ROUNDUP(X$35*3,0)+1</f>
        <v>16</v>
      </c>
      <c r="Y50" s="572">
        <v>6</v>
      </c>
      <c r="Z50" s="92">
        <v>35</v>
      </c>
      <c r="AF50" s="107"/>
      <c r="AG50" s="441">
        <v>4</v>
      </c>
      <c r="AH50" s="442">
        <f>IF(AH49-$AG50&lt;0,0,AH49-$AG50)</f>
        <v>0</v>
      </c>
      <c r="AI50" s="442">
        <f>IF(ISERROR((AH50/$AH$52)*$AH$22),0,(AH50/$AH$52)*$AH$22)</f>
        <v>0</v>
      </c>
      <c r="AJ50" s="87"/>
    </row>
    <row r="51" spans="1:36" s="11" customFormat="1" ht="12" x14ac:dyDescent="0.2">
      <c r="A51" s="567" t="s">
        <v>182</v>
      </c>
      <c r="B51" s="574">
        <f>B49</f>
        <v>7</v>
      </c>
      <c r="C51" s="574">
        <f t="shared" ref="C51:D51" si="34">C49</f>
        <v>7</v>
      </c>
      <c r="D51" s="574">
        <f t="shared" si="34"/>
        <v>7</v>
      </c>
      <c r="E51" s="574">
        <f>E49</f>
        <v>12</v>
      </c>
      <c r="F51" s="574">
        <f t="shared" ref="F51:J51" si="35">F49</f>
        <v>12</v>
      </c>
      <c r="G51" s="574">
        <f t="shared" si="35"/>
        <v>12</v>
      </c>
      <c r="H51" s="574">
        <f t="shared" si="35"/>
        <v>12</v>
      </c>
      <c r="I51" s="574">
        <f t="shared" si="35"/>
        <v>12</v>
      </c>
      <c r="J51" s="574">
        <f t="shared" si="35"/>
        <v>12</v>
      </c>
      <c r="K51" s="574">
        <f t="shared" ref="K51:M51" si="36">K49</f>
        <v>12</v>
      </c>
      <c r="L51" s="574">
        <f t="shared" si="36"/>
        <v>12</v>
      </c>
      <c r="M51" s="574">
        <f t="shared" si="36"/>
        <v>12</v>
      </c>
      <c r="N51" s="574">
        <f t="shared" ref="N51:P51" si="37">N49+2</f>
        <v>17</v>
      </c>
      <c r="O51" s="574">
        <f t="shared" si="37"/>
        <v>17</v>
      </c>
      <c r="P51" s="574">
        <f t="shared" si="37"/>
        <v>17</v>
      </c>
      <c r="Q51" s="574">
        <f t="shared" ref="Q51:X51" si="38">Q49+2</f>
        <v>20</v>
      </c>
      <c r="R51" s="574">
        <f t="shared" si="38"/>
        <v>20</v>
      </c>
      <c r="S51" s="574">
        <f t="shared" si="38"/>
        <v>22</v>
      </c>
      <c r="T51" s="574">
        <f t="shared" si="38"/>
        <v>22</v>
      </c>
      <c r="U51" s="574">
        <f t="shared" si="38"/>
        <v>22</v>
      </c>
      <c r="V51" s="574">
        <f t="shared" si="38"/>
        <v>22</v>
      </c>
      <c r="W51" s="574">
        <f t="shared" si="38"/>
        <v>22</v>
      </c>
      <c r="X51" s="575">
        <f t="shared" si="38"/>
        <v>20</v>
      </c>
      <c r="Y51" s="574">
        <v>7</v>
      </c>
      <c r="Z51" s="90">
        <v>36</v>
      </c>
      <c r="AF51" s="107"/>
      <c r="AG51" s="108" t="s">
        <v>155</v>
      </c>
      <c r="AH51" s="108" t="s">
        <v>156</v>
      </c>
      <c r="AI51" s="108" t="s">
        <v>183</v>
      </c>
      <c r="AJ51" s="87"/>
    </row>
    <row r="52" spans="1:36" s="11" customFormat="1" ht="12" x14ac:dyDescent="0.2">
      <c r="A52" s="567" t="s">
        <v>152</v>
      </c>
      <c r="B52" s="576">
        <f t="shared" ref="B52:Y52" si="39">B50</f>
        <v>6</v>
      </c>
      <c r="C52" s="576">
        <f t="shared" si="39"/>
        <v>6</v>
      </c>
      <c r="D52" s="576">
        <f t="shared" si="39"/>
        <v>6</v>
      </c>
      <c r="E52" s="576">
        <f t="shared" si="39"/>
        <v>11</v>
      </c>
      <c r="F52" s="576">
        <f t="shared" si="39"/>
        <v>11</v>
      </c>
      <c r="G52" s="576">
        <f t="shared" si="39"/>
        <v>11</v>
      </c>
      <c r="H52" s="576">
        <f t="shared" si="39"/>
        <v>11</v>
      </c>
      <c r="I52" s="576">
        <f t="shared" si="39"/>
        <v>11</v>
      </c>
      <c r="J52" s="576">
        <f t="shared" si="39"/>
        <v>11</v>
      </c>
      <c r="K52" s="576">
        <f t="shared" ref="K52:P52" si="40">K50</f>
        <v>11</v>
      </c>
      <c r="L52" s="576">
        <f t="shared" si="40"/>
        <v>11</v>
      </c>
      <c r="M52" s="576">
        <f t="shared" si="40"/>
        <v>11</v>
      </c>
      <c r="N52" s="576">
        <f t="shared" si="40"/>
        <v>14</v>
      </c>
      <c r="O52" s="576">
        <f t="shared" si="40"/>
        <v>14</v>
      </c>
      <c r="P52" s="576">
        <f t="shared" si="40"/>
        <v>14</v>
      </c>
      <c r="Q52" s="576">
        <f t="shared" si="39"/>
        <v>16</v>
      </c>
      <c r="R52" s="576">
        <f t="shared" si="39"/>
        <v>16</v>
      </c>
      <c r="S52" s="576">
        <f t="shared" si="39"/>
        <v>17</v>
      </c>
      <c r="T52" s="576">
        <f t="shared" si="39"/>
        <v>17</v>
      </c>
      <c r="U52" s="576">
        <f t="shared" si="39"/>
        <v>17</v>
      </c>
      <c r="V52" s="576">
        <f t="shared" si="39"/>
        <v>17</v>
      </c>
      <c r="W52" s="576">
        <f t="shared" si="39"/>
        <v>17</v>
      </c>
      <c r="X52" s="326">
        <f t="shared" si="39"/>
        <v>16</v>
      </c>
      <c r="Y52" s="574">
        <f t="shared" si="39"/>
        <v>6</v>
      </c>
      <c r="Z52" s="90">
        <v>37</v>
      </c>
      <c r="AF52" s="107"/>
      <c r="AG52" s="447">
        <f>SUM(AG40,AG42,AG44,AG46,AG48,AG50)</f>
        <v>35</v>
      </c>
      <c r="AH52" s="447">
        <f>SUM(AH39,AH41,AH43,AH45,AH47,AH49)</f>
        <v>9</v>
      </c>
      <c r="AI52" s="447">
        <f>SUM(AI39:AI50)</f>
        <v>0</v>
      </c>
      <c r="AJ52" s="87"/>
    </row>
    <row r="53" spans="1:36" s="11" customFormat="1" ht="12" x14ac:dyDescent="0.2">
      <c r="A53" s="577" t="s">
        <v>184</v>
      </c>
      <c r="B53" s="575"/>
      <c r="C53" s="179"/>
      <c r="D53" s="179"/>
      <c r="E53" s="179"/>
      <c r="F53" s="179"/>
      <c r="G53" s="179"/>
      <c r="H53" s="179"/>
      <c r="I53" s="180"/>
      <c r="J53" s="179"/>
      <c r="K53" s="179"/>
      <c r="L53" s="179"/>
      <c r="M53" s="179"/>
      <c r="N53" s="179"/>
      <c r="O53" s="179"/>
      <c r="P53" s="179"/>
      <c r="Q53" s="179"/>
      <c r="R53" s="179"/>
      <c r="S53" s="179"/>
      <c r="T53" s="179"/>
      <c r="U53" s="179"/>
      <c r="V53" s="179"/>
      <c r="W53" s="179"/>
      <c r="X53" s="179"/>
      <c r="Y53" s="574"/>
      <c r="Z53" s="92">
        <v>38</v>
      </c>
      <c r="AF53" s="107" t="s">
        <v>159</v>
      </c>
      <c r="AG53" s="87"/>
      <c r="AH53" s="87"/>
      <c r="AI53" s="87"/>
      <c r="AJ53" s="87"/>
    </row>
    <row r="54" spans="1:36" s="11" customFormat="1" ht="12" x14ac:dyDescent="0.2">
      <c r="A54" s="571" t="s">
        <v>185</v>
      </c>
      <c r="B54" s="578">
        <f t="shared" ref="B54:D55" si="41">ROUND($B124/5*B$35*0.4,0)</f>
        <v>4</v>
      </c>
      <c r="C54" s="578">
        <f t="shared" si="41"/>
        <v>4</v>
      </c>
      <c r="D54" s="578">
        <f t="shared" si="41"/>
        <v>4</v>
      </c>
      <c r="E54" s="578">
        <f t="shared" ref="E54:M54" si="42">ROUND($B124/5*E$35*0.6,0)</f>
        <v>7</v>
      </c>
      <c r="F54" s="578">
        <f t="shared" si="42"/>
        <v>7</v>
      </c>
      <c r="G54" s="578">
        <f t="shared" si="42"/>
        <v>7</v>
      </c>
      <c r="H54" s="578">
        <f t="shared" si="42"/>
        <v>7</v>
      </c>
      <c r="I54" s="578">
        <f t="shared" si="42"/>
        <v>7</v>
      </c>
      <c r="J54" s="578">
        <f t="shared" si="42"/>
        <v>7</v>
      </c>
      <c r="K54" s="578">
        <f t="shared" si="42"/>
        <v>7</v>
      </c>
      <c r="L54" s="578">
        <f t="shared" si="42"/>
        <v>7</v>
      </c>
      <c r="M54" s="578">
        <f t="shared" si="42"/>
        <v>7</v>
      </c>
      <c r="N54" s="578">
        <f>ROUND($B124/5*N$35*0.8,0)</f>
        <v>10</v>
      </c>
      <c r="O54" s="578">
        <f>ROUND($B124/5*O$35*0.8,0)</f>
        <v>10</v>
      </c>
      <c r="P54" s="578">
        <f>ROUND($B124/5*P$35*0.8,0)</f>
        <v>10</v>
      </c>
      <c r="Q54" s="578">
        <f>ROUND($B124/5*Q$35*0.85,0)</f>
        <v>12</v>
      </c>
      <c r="R54" s="578">
        <f>ROUND($B124/5*R$35*0.85,0)</f>
        <v>12</v>
      </c>
      <c r="S54" s="578">
        <f t="shared" ref="S54:W65" si="43">ROUND($B124/5*S$35,0)</f>
        <v>14</v>
      </c>
      <c r="T54" s="578">
        <f t="shared" si="43"/>
        <v>14</v>
      </c>
      <c r="U54" s="578">
        <f t="shared" si="43"/>
        <v>14</v>
      </c>
      <c r="V54" s="578">
        <f t="shared" si="43"/>
        <v>14</v>
      </c>
      <c r="W54" s="578">
        <f t="shared" si="43"/>
        <v>14</v>
      </c>
      <c r="X54" s="579">
        <f>ROUND($B124/5*X$35*0.85,0)</f>
        <v>12</v>
      </c>
      <c r="Y54" s="578">
        <v>4</v>
      </c>
      <c r="Z54" s="90">
        <v>39</v>
      </c>
    </row>
    <row r="55" spans="1:36" s="11" customFormat="1" ht="12" x14ac:dyDescent="0.2">
      <c r="A55" s="571" t="s">
        <v>186</v>
      </c>
      <c r="B55" s="578">
        <f t="shared" si="41"/>
        <v>3</v>
      </c>
      <c r="C55" s="578">
        <f t="shared" si="41"/>
        <v>3</v>
      </c>
      <c r="D55" s="578">
        <f t="shared" si="41"/>
        <v>3</v>
      </c>
      <c r="E55" s="578">
        <f t="shared" ref="E55:M55" si="44">ROUND($B125/5*E$35*0.8,0)</f>
        <v>6</v>
      </c>
      <c r="F55" s="578">
        <f t="shared" si="44"/>
        <v>6</v>
      </c>
      <c r="G55" s="578">
        <f t="shared" si="44"/>
        <v>6</v>
      </c>
      <c r="H55" s="578">
        <f t="shared" si="44"/>
        <v>6</v>
      </c>
      <c r="I55" s="578">
        <f t="shared" si="44"/>
        <v>6</v>
      </c>
      <c r="J55" s="578">
        <f t="shared" si="44"/>
        <v>6</v>
      </c>
      <c r="K55" s="578">
        <f t="shared" si="44"/>
        <v>6</v>
      </c>
      <c r="L55" s="578">
        <f t="shared" si="44"/>
        <v>6</v>
      </c>
      <c r="M55" s="578">
        <f t="shared" si="44"/>
        <v>6</v>
      </c>
      <c r="N55" s="578">
        <f>ROUND($B125/5*N$35*0.9,0)</f>
        <v>8</v>
      </c>
      <c r="O55" s="578">
        <f>ROUND($B125/5*O$35*0.9,0)</f>
        <v>8</v>
      </c>
      <c r="P55" s="578">
        <f>ROUND($B125/5*P$35*0.9,0)</f>
        <v>8</v>
      </c>
      <c r="Q55" s="578">
        <f>ROUND($B125/5*Q$35*0.9,0)</f>
        <v>9</v>
      </c>
      <c r="R55" s="578">
        <f>ROUND($B125/5*R$35*0.9,0)</f>
        <v>9</v>
      </c>
      <c r="S55" s="578">
        <f t="shared" si="43"/>
        <v>10</v>
      </c>
      <c r="T55" s="578">
        <f t="shared" si="43"/>
        <v>10</v>
      </c>
      <c r="U55" s="578">
        <f t="shared" si="43"/>
        <v>10</v>
      </c>
      <c r="V55" s="578">
        <f t="shared" si="43"/>
        <v>10</v>
      </c>
      <c r="W55" s="578">
        <f t="shared" si="43"/>
        <v>10</v>
      </c>
      <c r="X55" s="579">
        <f>ROUND($B125/5*X$35*0.9,0)</f>
        <v>9</v>
      </c>
      <c r="Y55" s="578">
        <v>3</v>
      </c>
      <c r="Z55" s="90">
        <v>40</v>
      </c>
    </row>
    <row r="56" spans="1:36" s="11" customFormat="1" ht="12" x14ac:dyDescent="0.2">
      <c r="A56" s="567" t="s">
        <v>187</v>
      </c>
      <c r="B56" s="535">
        <v>0</v>
      </c>
      <c r="C56" s="535">
        <v>0</v>
      </c>
      <c r="D56" s="535">
        <v>0</v>
      </c>
      <c r="E56" s="535">
        <f t="shared" ref="E56:M56" si="45">ROUND($B126/5*E$35*0.3,0)</f>
        <v>2</v>
      </c>
      <c r="F56" s="535">
        <f t="shared" si="45"/>
        <v>2</v>
      </c>
      <c r="G56" s="535">
        <f t="shared" si="45"/>
        <v>2</v>
      </c>
      <c r="H56" s="535">
        <f t="shared" si="45"/>
        <v>2</v>
      </c>
      <c r="I56" s="535">
        <f t="shared" si="45"/>
        <v>2</v>
      </c>
      <c r="J56" s="535">
        <f t="shared" si="45"/>
        <v>2</v>
      </c>
      <c r="K56" s="535">
        <f t="shared" si="45"/>
        <v>2</v>
      </c>
      <c r="L56" s="535">
        <f t="shared" si="45"/>
        <v>2</v>
      </c>
      <c r="M56" s="535">
        <f t="shared" si="45"/>
        <v>2</v>
      </c>
      <c r="N56" s="535">
        <f t="shared" ref="N56:P57" si="46">ROUND($B126/5*N$35*0.5,0)</f>
        <v>4</v>
      </c>
      <c r="O56" s="535">
        <f t="shared" si="46"/>
        <v>4</v>
      </c>
      <c r="P56" s="535">
        <f t="shared" si="46"/>
        <v>4</v>
      </c>
      <c r="Q56" s="535">
        <f>ROUND($B126/5*Q$35*0.8,0)</f>
        <v>6</v>
      </c>
      <c r="R56" s="535">
        <f>ROUND($B126/5*R$35*0.8,0)</f>
        <v>6</v>
      </c>
      <c r="S56" s="535">
        <f t="shared" si="43"/>
        <v>8</v>
      </c>
      <c r="T56" s="535">
        <f t="shared" si="43"/>
        <v>8</v>
      </c>
      <c r="U56" s="535">
        <f t="shared" si="43"/>
        <v>8</v>
      </c>
      <c r="V56" s="535">
        <f t="shared" si="43"/>
        <v>8</v>
      </c>
      <c r="W56" s="535">
        <f t="shared" si="43"/>
        <v>8</v>
      </c>
      <c r="X56" s="550">
        <f>ROUND($B126/5*X$35*0.8,0)</f>
        <v>6</v>
      </c>
      <c r="Y56" s="535">
        <v>0</v>
      </c>
      <c r="Z56" s="92">
        <v>41</v>
      </c>
      <c r="AD56" s="95"/>
      <c r="AE56" s="87"/>
    </row>
    <row r="57" spans="1:36" s="11" customFormat="1" ht="12" x14ac:dyDescent="0.2">
      <c r="A57" s="567" t="s">
        <v>188</v>
      </c>
      <c r="B57" s="535">
        <v>0</v>
      </c>
      <c r="C57" s="535">
        <v>0</v>
      </c>
      <c r="D57" s="535">
        <v>0</v>
      </c>
      <c r="E57" s="535">
        <f t="shared" ref="E57:M57" si="47">ROUND($B127/5*E$35*0.3,0)</f>
        <v>1</v>
      </c>
      <c r="F57" s="535">
        <f t="shared" si="47"/>
        <v>1</v>
      </c>
      <c r="G57" s="535">
        <f t="shared" si="47"/>
        <v>1</v>
      </c>
      <c r="H57" s="535">
        <f t="shared" si="47"/>
        <v>1</v>
      </c>
      <c r="I57" s="535">
        <f t="shared" si="47"/>
        <v>1</v>
      </c>
      <c r="J57" s="535">
        <f t="shared" si="47"/>
        <v>1</v>
      </c>
      <c r="K57" s="535">
        <f t="shared" si="47"/>
        <v>1</v>
      </c>
      <c r="L57" s="535">
        <f t="shared" si="47"/>
        <v>1</v>
      </c>
      <c r="M57" s="535">
        <f t="shared" si="47"/>
        <v>1</v>
      </c>
      <c r="N57" s="535">
        <f t="shared" si="46"/>
        <v>2</v>
      </c>
      <c r="O57" s="535">
        <f t="shared" si="46"/>
        <v>2</v>
      </c>
      <c r="P57" s="535">
        <f t="shared" si="46"/>
        <v>2</v>
      </c>
      <c r="Q57" s="535">
        <f>ROUND($B127/5*Q$35*0.8,0)</f>
        <v>3</v>
      </c>
      <c r="R57" s="535">
        <f>ROUND($B127/5*R$35*0.8,0)</f>
        <v>3</v>
      </c>
      <c r="S57" s="535">
        <f t="shared" si="43"/>
        <v>4</v>
      </c>
      <c r="T57" s="535">
        <f t="shared" si="43"/>
        <v>4</v>
      </c>
      <c r="U57" s="535">
        <f t="shared" si="43"/>
        <v>4</v>
      </c>
      <c r="V57" s="535">
        <f t="shared" si="43"/>
        <v>4</v>
      </c>
      <c r="W57" s="535">
        <f t="shared" si="43"/>
        <v>4</v>
      </c>
      <c r="X57" s="550">
        <f>ROUND($B127/5*X$35*0.8,0)</f>
        <v>3</v>
      </c>
      <c r="Y57" s="535">
        <v>0</v>
      </c>
      <c r="Z57" s="90">
        <v>42</v>
      </c>
      <c r="AA57" s="109"/>
      <c r="AB57" s="116"/>
      <c r="AC57" s="95"/>
      <c r="AD57" s="87"/>
      <c r="AE57" s="87"/>
    </row>
    <row r="58" spans="1:36" s="11" customFormat="1" ht="12" x14ac:dyDescent="0.2">
      <c r="A58" s="571" t="s">
        <v>189</v>
      </c>
      <c r="B58" s="578">
        <v>0</v>
      </c>
      <c r="C58" s="578">
        <v>0</v>
      </c>
      <c r="D58" s="578">
        <v>0</v>
      </c>
      <c r="E58" s="578">
        <f t="shared" ref="E58:M58" si="48">ROUND($B128/5*E$35*0.3,0)</f>
        <v>3</v>
      </c>
      <c r="F58" s="578">
        <f t="shared" si="48"/>
        <v>3</v>
      </c>
      <c r="G58" s="578">
        <f t="shared" si="48"/>
        <v>3</v>
      </c>
      <c r="H58" s="578">
        <f t="shared" si="48"/>
        <v>3</v>
      </c>
      <c r="I58" s="578">
        <f t="shared" si="48"/>
        <v>3</v>
      </c>
      <c r="J58" s="578">
        <f t="shared" si="48"/>
        <v>3</v>
      </c>
      <c r="K58" s="578">
        <f t="shared" si="48"/>
        <v>3</v>
      </c>
      <c r="L58" s="578">
        <f t="shared" si="48"/>
        <v>3</v>
      </c>
      <c r="M58" s="578">
        <f t="shared" si="48"/>
        <v>3</v>
      </c>
      <c r="N58" s="578">
        <f t="shared" ref="N58:P59" si="49">ROUND($B128/5*N$35*0.6,0)</f>
        <v>6</v>
      </c>
      <c r="O58" s="578">
        <f t="shared" si="49"/>
        <v>6</v>
      </c>
      <c r="P58" s="578">
        <f t="shared" si="49"/>
        <v>6</v>
      </c>
      <c r="Q58" s="578">
        <f>ROUND($B128/5*Q$35*0.85,0)</f>
        <v>9</v>
      </c>
      <c r="R58" s="578">
        <f>ROUND($B128/5*R$35*0.85,0)</f>
        <v>9</v>
      </c>
      <c r="S58" s="578">
        <f t="shared" si="43"/>
        <v>11</v>
      </c>
      <c r="T58" s="578">
        <f t="shared" si="43"/>
        <v>11</v>
      </c>
      <c r="U58" s="578">
        <f t="shared" si="43"/>
        <v>11</v>
      </c>
      <c r="V58" s="578">
        <f t="shared" si="43"/>
        <v>11</v>
      </c>
      <c r="W58" s="578">
        <f t="shared" si="43"/>
        <v>11</v>
      </c>
      <c r="X58" s="579">
        <f>ROUND($B128/5*X$35*0.85,0)</f>
        <v>9</v>
      </c>
      <c r="Y58" s="578">
        <v>0</v>
      </c>
      <c r="Z58" s="90">
        <v>43</v>
      </c>
      <c r="AA58" s="87"/>
      <c r="AB58" s="87"/>
      <c r="AC58" s="87"/>
      <c r="AD58" s="95"/>
      <c r="AE58" s="87"/>
    </row>
    <row r="59" spans="1:36" s="11" customFormat="1" ht="12" x14ac:dyDescent="0.2">
      <c r="A59" s="571" t="s">
        <v>190</v>
      </c>
      <c r="B59" s="578">
        <v>0</v>
      </c>
      <c r="C59" s="578">
        <v>0</v>
      </c>
      <c r="D59" s="578">
        <v>0</v>
      </c>
      <c r="E59" s="578">
        <f t="shared" ref="E59:M59" si="50">ROUND($B129/5*E$35*0.4,0)</f>
        <v>2</v>
      </c>
      <c r="F59" s="578">
        <f t="shared" si="50"/>
        <v>2</v>
      </c>
      <c r="G59" s="578">
        <f t="shared" si="50"/>
        <v>2</v>
      </c>
      <c r="H59" s="578">
        <f t="shared" si="50"/>
        <v>2</v>
      </c>
      <c r="I59" s="578">
        <f t="shared" si="50"/>
        <v>2</v>
      </c>
      <c r="J59" s="578">
        <f t="shared" si="50"/>
        <v>2</v>
      </c>
      <c r="K59" s="578">
        <f t="shared" si="50"/>
        <v>2</v>
      </c>
      <c r="L59" s="578">
        <f t="shared" si="50"/>
        <v>2</v>
      </c>
      <c r="M59" s="578">
        <f t="shared" si="50"/>
        <v>2</v>
      </c>
      <c r="N59" s="578">
        <f t="shared" si="49"/>
        <v>4</v>
      </c>
      <c r="O59" s="578">
        <f t="shared" si="49"/>
        <v>4</v>
      </c>
      <c r="P59" s="578">
        <f t="shared" si="49"/>
        <v>4</v>
      </c>
      <c r="Q59" s="578">
        <f>ROUND($B129/5*Q$35*0.9,0)</f>
        <v>6</v>
      </c>
      <c r="R59" s="578">
        <f>ROUND($B129/5*R$35*0.9,0)</f>
        <v>6</v>
      </c>
      <c r="S59" s="578">
        <f t="shared" si="43"/>
        <v>7</v>
      </c>
      <c r="T59" s="578">
        <f t="shared" si="43"/>
        <v>7</v>
      </c>
      <c r="U59" s="578">
        <f t="shared" si="43"/>
        <v>7</v>
      </c>
      <c r="V59" s="578">
        <f t="shared" si="43"/>
        <v>7</v>
      </c>
      <c r="W59" s="578">
        <f t="shared" si="43"/>
        <v>7</v>
      </c>
      <c r="X59" s="579">
        <f>ROUND($B129/5*X$35*0.9,0)</f>
        <v>6</v>
      </c>
      <c r="Y59" s="578">
        <v>0</v>
      </c>
      <c r="Z59" s="92">
        <v>44</v>
      </c>
      <c r="AA59" s="43"/>
      <c r="AB59" s="110"/>
      <c r="AC59" s="95"/>
      <c r="AD59" s="95"/>
      <c r="AE59" s="87"/>
    </row>
    <row r="60" spans="1:36" s="11" customFormat="1" ht="12" x14ac:dyDescent="0.2">
      <c r="A60" s="567" t="s">
        <v>191</v>
      </c>
      <c r="B60" s="535">
        <f>ROUND($B130/5*B$35*0.4,0)</f>
        <v>4</v>
      </c>
      <c r="C60" s="535">
        <f>ROUND($B130/5*C$35*0.4,0)</f>
        <v>4</v>
      </c>
      <c r="D60" s="535">
        <f>ROUND($B130/5*D$35*0.4,0)</f>
        <v>4</v>
      </c>
      <c r="E60" s="535">
        <f t="shared" ref="E60:M60" si="51">ROUND($B130/5*E$35*0.7,0)</f>
        <v>7</v>
      </c>
      <c r="F60" s="535">
        <f t="shared" si="51"/>
        <v>7</v>
      </c>
      <c r="G60" s="535">
        <f t="shared" si="51"/>
        <v>7</v>
      </c>
      <c r="H60" s="535">
        <f t="shared" si="51"/>
        <v>7</v>
      </c>
      <c r="I60" s="535">
        <f t="shared" si="51"/>
        <v>7</v>
      </c>
      <c r="J60" s="535">
        <f t="shared" si="51"/>
        <v>7</v>
      </c>
      <c r="K60" s="535">
        <f t="shared" si="51"/>
        <v>7</v>
      </c>
      <c r="L60" s="535">
        <f t="shared" si="51"/>
        <v>7</v>
      </c>
      <c r="M60" s="535">
        <f t="shared" si="51"/>
        <v>7</v>
      </c>
      <c r="N60" s="535">
        <f>ROUND($B130/5*N$35*0.85,0)</f>
        <v>10</v>
      </c>
      <c r="O60" s="535">
        <f>ROUND($B130/5*O$35*0.85,0)</f>
        <v>10</v>
      </c>
      <c r="P60" s="535">
        <f>ROUND($B130/5*P$35*0.85,0)</f>
        <v>10</v>
      </c>
      <c r="Q60" s="535">
        <f>ROUND($B130/5*Q$35*0.85,0)</f>
        <v>11</v>
      </c>
      <c r="R60" s="535">
        <f>ROUND($B130/5*R$35*0.85,0)</f>
        <v>11</v>
      </c>
      <c r="S60" s="535">
        <f t="shared" si="43"/>
        <v>13</v>
      </c>
      <c r="T60" s="535">
        <f t="shared" si="43"/>
        <v>13</v>
      </c>
      <c r="U60" s="535">
        <f t="shared" si="43"/>
        <v>13</v>
      </c>
      <c r="V60" s="535">
        <f t="shared" si="43"/>
        <v>13</v>
      </c>
      <c r="W60" s="535">
        <f t="shared" si="43"/>
        <v>13</v>
      </c>
      <c r="X60" s="550">
        <f>ROUND($B130/5*X$35*0.85,0)</f>
        <v>11</v>
      </c>
      <c r="Y60" s="535">
        <v>4</v>
      </c>
      <c r="Z60" s="90">
        <v>45</v>
      </c>
      <c r="AA60" s="87"/>
      <c r="AB60" s="110"/>
      <c r="AC60" s="95"/>
      <c r="AD60" s="87"/>
      <c r="AE60" s="87"/>
    </row>
    <row r="61" spans="1:36" s="11" customFormat="1" x14ac:dyDescent="0.2">
      <c r="A61" s="567" t="s">
        <v>192</v>
      </c>
      <c r="B61" s="535">
        <f t="shared" ref="B61:D62" si="52">ROUND($B131/5*B$35*0.5,0)</f>
        <v>3</v>
      </c>
      <c r="C61" s="535">
        <f t="shared" si="52"/>
        <v>3</v>
      </c>
      <c r="D61" s="535">
        <f t="shared" si="52"/>
        <v>3</v>
      </c>
      <c r="E61" s="535">
        <f t="shared" ref="E61:M61" si="53">ROUND($B131/5*E$35*0.8,0)</f>
        <v>6</v>
      </c>
      <c r="F61" s="535">
        <f t="shared" si="53"/>
        <v>6</v>
      </c>
      <c r="G61" s="535">
        <f t="shared" si="53"/>
        <v>6</v>
      </c>
      <c r="H61" s="535">
        <f t="shared" si="53"/>
        <v>6</v>
      </c>
      <c r="I61" s="535">
        <f t="shared" si="53"/>
        <v>6</v>
      </c>
      <c r="J61" s="535">
        <f t="shared" si="53"/>
        <v>6</v>
      </c>
      <c r="K61" s="535">
        <f t="shared" si="53"/>
        <v>6</v>
      </c>
      <c r="L61" s="535">
        <f t="shared" si="53"/>
        <v>6</v>
      </c>
      <c r="M61" s="535">
        <f t="shared" si="53"/>
        <v>6</v>
      </c>
      <c r="N61" s="535">
        <f>ROUND($B131/5*N$35,0)</f>
        <v>8</v>
      </c>
      <c r="O61" s="535">
        <f>ROUND($B131/5*O$35,0)</f>
        <v>8</v>
      </c>
      <c r="P61" s="535">
        <f>ROUND($B131/5*P$35,0)</f>
        <v>8</v>
      </c>
      <c r="Q61" s="535">
        <f>ROUND($B131/5*Q$35*0.9,0)</f>
        <v>8</v>
      </c>
      <c r="R61" s="535">
        <f>ROUND($B131/5*R$35*0.9,0)</f>
        <v>8</v>
      </c>
      <c r="S61" s="535">
        <f t="shared" si="43"/>
        <v>9</v>
      </c>
      <c r="T61" s="535">
        <f t="shared" si="43"/>
        <v>9</v>
      </c>
      <c r="U61" s="535">
        <f t="shared" si="43"/>
        <v>9</v>
      </c>
      <c r="V61" s="535">
        <f t="shared" si="43"/>
        <v>9</v>
      </c>
      <c r="W61" s="535">
        <f t="shared" si="43"/>
        <v>9</v>
      </c>
      <c r="X61" s="550">
        <f>ROUND($B131/5*X$35*0.9,0)</f>
        <v>8</v>
      </c>
      <c r="Y61" s="535">
        <v>3</v>
      </c>
      <c r="Z61" s="90">
        <v>46</v>
      </c>
      <c r="AA61" s="107"/>
      <c r="AB61" s="109"/>
      <c r="AC61" s="95"/>
      <c r="AE61" s="72"/>
    </row>
    <row r="62" spans="1:36" s="11" customFormat="1" x14ac:dyDescent="0.2">
      <c r="A62" s="571" t="s">
        <v>193</v>
      </c>
      <c r="B62" s="578">
        <f t="shared" si="52"/>
        <v>4</v>
      </c>
      <c r="C62" s="578">
        <f t="shared" si="52"/>
        <v>4</v>
      </c>
      <c r="D62" s="578">
        <f t="shared" si="52"/>
        <v>4</v>
      </c>
      <c r="E62" s="578">
        <f t="shared" ref="E62:M62" si="54">ROUND($B132/5*E$35*0.6,0)</f>
        <v>5</v>
      </c>
      <c r="F62" s="578">
        <f t="shared" si="54"/>
        <v>5</v>
      </c>
      <c r="G62" s="578">
        <f t="shared" si="54"/>
        <v>5</v>
      </c>
      <c r="H62" s="578">
        <f t="shared" si="54"/>
        <v>5</v>
      </c>
      <c r="I62" s="578">
        <f t="shared" si="54"/>
        <v>5</v>
      </c>
      <c r="J62" s="578">
        <f t="shared" si="54"/>
        <v>5</v>
      </c>
      <c r="K62" s="578">
        <f t="shared" si="54"/>
        <v>5</v>
      </c>
      <c r="L62" s="578">
        <f t="shared" si="54"/>
        <v>5</v>
      </c>
      <c r="M62" s="578">
        <f t="shared" si="54"/>
        <v>5</v>
      </c>
      <c r="N62" s="578">
        <f>ROUND($B132/5*N$35*0.8,0)</f>
        <v>8</v>
      </c>
      <c r="O62" s="578">
        <f>ROUND($B132/5*O$35*0.8,0)</f>
        <v>8</v>
      </c>
      <c r="P62" s="578">
        <f>ROUND($B132/5*P$35*0.8,0)</f>
        <v>8</v>
      </c>
      <c r="Q62" s="578">
        <f>ROUND($B132/5*Q$35*0.8,0)</f>
        <v>9</v>
      </c>
      <c r="R62" s="578">
        <f>ROUND($B132/5*R$35*0.8,0)</f>
        <v>9</v>
      </c>
      <c r="S62" s="578">
        <f t="shared" si="43"/>
        <v>11</v>
      </c>
      <c r="T62" s="578">
        <f t="shared" si="43"/>
        <v>11</v>
      </c>
      <c r="U62" s="578">
        <f t="shared" si="43"/>
        <v>11</v>
      </c>
      <c r="V62" s="578">
        <f t="shared" si="43"/>
        <v>11</v>
      </c>
      <c r="W62" s="578">
        <f t="shared" si="43"/>
        <v>11</v>
      </c>
      <c r="X62" s="579">
        <f>ROUND($B132/5*X$35*0.8,0)</f>
        <v>9</v>
      </c>
      <c r="Y62" s="578">
        <v>4</v>
      </c>
      <c r="Z62" s="92">
        <v>47</v>
      </c>
      <c r="AA62" s="109"/>
      <c r="AB62" s="20"/>
      <c r="AC62" s="20"/>
      <c r="AD62" s="7"/>
      <c r="AE62" s="72"/>
    </row>
    <row r="63" spans="1:36" s="11" customFormat="1" x14ac:dyDescent="0.2">
      <c r="A63" s="571" t="s">
        <v>194</v>
      </c>
      <c r="B63" s="578">
        <f>ROUND($B133/5*B$35*0.7,0)</f>
        <v>3</v>
      </c>
      <c r="C63" s="578">
        <f>ROUND($B133/5*C$35*0.7,0)</f>
        <v>3</v>
      </c>
      <c r="D63" s="578">
        <f>ROUND($B133/5*D$35*0.7,0)</f>
        <v>3</v>
      </c>
      <c r="E63" s="578">
        <f t="shared" ref="E63:M63" si="55">ROUND($B133/5*E$35*0.8,0)</f>
        <v>4</v>
      </c>
      <c r="F63" s="578">
        <f t="shared" si="55"/>
        <v>4</v>
      </c>
      <c r="G63" s="578">
        <f t="shared" si="55"/>
        <v>4</v>
      </c>
      <c r="H63" s="578">
        <f t="shared" si="55"/>
        <v>4</v>
      </c>
      <c r="I63" s="578">
        <f t="shared" si="55"/>
        <v>4</v>
      </c>
      <c r="J63" s="578">
        <f t="shared" si="55"/>
        <v>4</v>
      </c>
      <c r="K63" s="578">
        <f t="shared" si="55"/>
        <v>4</v>
      </c>
      <c r="L63" s="578">
        <f t="shared" si="55"/>
        <v>4</v>
      </c>
      <c r="M63" s="578">
        <f t="shared" si="55"/>
        <v>4</v>
      </c>
      <c r="N63" s="578">
        <f>ROUND($B133/5*N$35*0.9,0)</f>
        <v>6</v>
      </c>
      <c r="O63" s="578">
        <f>ROUND($B133/5*O$35*0.9,0)</f>
        <v>6</v>
      </c>
      <c r="P63" s="578">
        <f>ROUND($B133/5*P$35*0.9,0)</f>
        <v>6</v>
      </c>
      <c r="Q63" s="578">
        <f>ROUND($B133/5*Q$35*0.9,0)</f>
        <v>6</v>
      </c>
      <c r="R63" s="578">
        <f>ROUND($B133/5*R$35*0.9,0)</f>
        <v>6</v>
      </c>
      <c r="S63" s="578">
        <f t="shared" si="43"/>
        <v>7</v>
      </c>
      <c r="T63" s="578">
        <f t="shared" si="43"/>
        <v>7</v>
      </c>
      <c r="U63" s="578">
        <f t="shared" si="43"/>
        <v>7</v>
      </c>
      <c r="V63" s="578">
        <f t="shared" si="43"/>
        <v>7</v>
      </c>
      <c r="W63" s="578">
        <f t="shared" si="43"/>
        <v>7</v>
      </c>
      <c r="X63" s="579">
        <f>ROUND($B133/5*X$35*0.9,0)</f>
        <v>6</v>
      </c>
      <c r="Y63" s="578">
        <v>3</v>
      </c>
      <c r="Z63" s="90">
        <v>48</v>
      </c>
      <c r="AA63" s="109"/>
      <c r="AB63" s="20"/>
      <c r="AC63" s="20"/>
      <c r="AD63" s="7"/>
      <c r="AE63" s="72"/>
    </row>
    <row r="64" spans="1:36" s="11" customFormat="1" x14ac:dyDescent="0.2">
      <c r="A64" s="567" t="s">
        <v>195</v>
      </c>
      <c r="B64" s="535">
        <f t="shared" ref="B64:M64" si="56">ROUND($B134/5*B$35*0.5,0)</f>
        <v>4</v>
      </c>
      <c r="C64" s="535">
        <f t="shared" si="56"/>
        <v>4</v>
      </c>
      <c r="D64" s="535">
        <f t="shared" si="56"/>
        <v>4</v>
      </c>
      <c r="E64" s="535">
        <f t="shared" si="56"/>
        <v>5</v>
      </c>
      <c r="F64" s="535">
        <f t="shared" si="56"/>
        <v>5</v>
      </c>
      <c r="G64" s="535">
        <f t="shared" si="56"/>
        <v>5</v>
      </c>
      <c r="H64" s="535">
        <f t="shared" si="56"/>
        <v>5</v>
      </c>
      <c r="I64" s="535">
        <f t="shared" si="56"/>
        <v>5</v>
      </c>
      <c r="J64" s="535">
        <f t="shared" si="56"/>
        <v>5</v>
      </c>
      <c r="K64" s="535">
        <f t="shared" si="56"/>
        <v>5</v>
      </c>
      <c r="L64" s="535">
        <f t="shared" si="56"/>
        <v>5</v>
      </c>
      <c r="M64" s="535">
        <f t="shared" si="56"/>
        <v>5</v>
      </c>
      <c r="N64" s="535">
        <f>ROUND($B134/5*N$35*0.7,0)</f>
        <v>8</v>
      </c>
      <c r="O64" s="535">
        <f>ROUND($B134/5*O$35*0.7,0)</f>
        <v>8</v>
      </c>
      <c r="P64" s="535">
        <f>ROUND($B134/5*P$35*0.7,0)</f>
        <v>8</v>
      </c>
      <c r="Q64" s="535">
        <f>ROUND($B134/5*Q$35*0.85,0)</f>
        <v>10</v>
      </c>
      <c r="R64" s="535">
        <f>ROUND($B134/5*R$35*0.85,0)</f>
        <v>10</v>
      </c>
      <c r="S64" s="535">
        <f t="shared" si="43"/>
        <v>12</v>
      </c>
      <c r="T64" s="535">
        <f t="shared" si="43"/>
        <v>12</v>
      </c>
      <c r="U64" s="535">
        <f t="shared" si="43"/>
        <v>12</v>
      </c>
      <c r="V64" s="535">
        <f t="shared" si="43"/>
        <v>12</v>
      </c>
      <c r="W64" s="535">
        <f t="shared" si="43"/>
        <v>12</v>
      </c>
      <c r="X64" s="550">
        <f>ROUND($B134/5*X$35*0.85,0)</f>
        <v>10</v>
      </c>
      <c r="Y64" s="535">
        <v>4</v>
      </c>
      <c r="Z64" s="90">
        <v>49</v>
      </c>
      <c r="AA64" s="107"/>
      <c r="AB64" s="7"/>
      <c r="AC64" s="7"/>
      <c r="AD64" s="7"/>
      <c r="AE64" s="72"/>
    </row>
    <row r="65" spans="1:46" s="11" customFormat="1" thickBot="1" x14ac:dyDescent="0.25">
      <c r="A65" s="580" t="s">
        <v>196</v>
      </c>
      <c r="B65" s="581">
        <f t="shared" ref="B65:M65" si="57">ROUND($B135/5*B$35*0.6,0)</f>
        <v>3</v>
      </c>
      <c r="C65" s="581">
        <f t="shared" si="57"/>
        <v>3</v>
      </c>
      <c r="D65" s="581">
        <f t="shared" si="57"/>
        <v>3</v>
      </c>
      <c r="E65" s="581">
        <f t="shared" si="57"/>
        <v>4</v>
      </c>
      <c r="F65" s="581">
        <f t="shared" si="57"/>
        <v>4</v>
      </c>
      <c r="G65" s="581">
        <f t="shared" si="57"/>
        <v>4</v>
      </c>
      <c r="H65" s="581">
        <f t="shared" si="57"/>
        <v>4</v>
      </c>
      <c r="I65" s="581">
        <f t="shared" si="57"/>
        <v>4</v>
      </c>
      <c r="J65" s="581">
        <f t="shared" si="57"/>
        <v>4</v>
      </c>
      <c r="K65" s="581">
        <f t="shared" si="57"/>
        <v>4</v>
      </c>
      <c r="L65" s="581">
        <f t="shared" si="57"/>
        <v>4</v>
      </c>
      <c r="M65" s="581">
        <f t="shared" si="57"/>
        <v>4</v>
      </c>
      <c r="N65" s="581">
        <f>ROUND($B135/5*N$35*0.8,0)</f>
        <v>6</v>
      </c>
      <c r="O65" s="581">
        <f>ROUND($B135/5*O$35*0.8,0)</f>
        <v>6</v>
      </c>
      <c r="P65" s="581">
        <f>ROUND($B135/5*P$35*0.8,0)</f>
        <v>6</v>
      </c>
      <c r="Q65" s="581">
        <f>ROUND($B135/5*Q$35*0.9,0)</f>
        <v>7</v>
      </c>
      <c r="R65" s="581">
        <f>ROUND($B135/5*R$35*0.9,0)</f>
        <v>7</v>
      </c>
      <c r="S65" s="581">
        <f t="shared" si="43"/>
        <v>8</v>
      </c>
      <c r="T65" s="581">
        <f t="shared" si="43"/>
        <v>8</v>
      </c>
      <c r="U65" s="581">
        <f t="shared" si="43"/>
        <v>8</v>
      </c>
      <c r="V65" s="581">
        <f t="shared" si="43"/>
        <v>8</v>
      </c>
      <c r="W65" s="581">
        <f t="shared" si="43"/>
        <v>8</v>
      </c>
      <c r="X65" s="327">
        <f>ROUND($B135/5*X$35*0.9,0)</f>
        <v>7</v>
      </c>
      <c r="Y65" s="535">
        <v>3</v>
      </c>
      <c r="Z65" s="92">
        <v>50</v>
      </c>
      <c r="AA65" s="107"/>
      <c r="AB65" s="7"/>
      <c r="AC65" s="7"/>
      <c r="AD65" s="7"/>
    </row>
    <row r="66" spans="1:46" s="11" customFormat="1" ht="12" x14ac:dyDescent="0.2">
      <c r="A66" s="181" t="s">
        <v>197</v>
      </c>
      <c r="B66" s="182">
        <f>IF(SUM(B54,B56,B58,B60,B62,B64)=0,B49*2,SUM(B54,B56,B58,B60,B62,B64))</f>
        <v>16</v>
      </c>
      <c r="C66" s="182">
        <f t="shared" ref="C66:Y67" si="58">IF(SUM(C54,C56,C58,C60,C62,C64)=0,C49*2,SUM(C54,C56,C58,C60,C62,C64))</f>
        <v>16</v>
      </c>
      <c r="D66" s="182">
        <f t="shared" si="58"/>
        <v>16</v>
      </c>
      <c r="E66" s="182">
        <f t="shared" si="58"/>
        <v>29</v>
      </c>
      <c r="F66" s="182">
        <f t="shared" si="58"/>
        <v>29</v>
      </c>
      <c r="G66" s="182">
        <f t="shared" si="58"/>
        <v>29</v>
      </c>
      <c r="H66" s="182">
        <f t="shared" si="58"/>
        <v>29</v>
      </c>
      <c r="I66" s="182">
        <f t="shared" si="58"/>
        <v>29</v>
      </c>
      <c r="J66" s="182">
        <f t="shared" si="58"/>
        <v>29</v>
      </c>
      <c r="K66" s="182">
        <f t="shared" si="58"/>
        <v>29</v>
      </c>
      <c r="L66" s="182">
        <f t="shared" si="58"/>
        <v>29</v>
      </c>
      <c r="M66" s="182">
        <f t="shared" si="58"/>
        <v>29</v>
      </c>
      <c r="N66" s="182">
        <f t="shared" si="58"/>
        <v>46</v>
      </c>
      <c r="O66" s="182">
        <f t="shared" si="58"/>
        <v>46</v>
      </c>
      <c r="P66" s="182">
        <f t="shared" si="58"/>
        <v>46</v>
      </c>
      <c r="Q66" s="182">
        <f t="shared" si="58"/>
        <v>57</v>
      </c>
      <c r="R66" s="182">
        <f t="shared" si="58"/>
        <v>57</v>
      </c>
      <c r="S66" s="182">
        <f t="shared" si="58"/>
        <v>69</v>
      </c>
      <c r="T66" s="182">
        <f t="shared" si="58"/>
        <v>69</v>
      </c>
      <c r="U66" s="182">
        <f t="shared" si="58"/>
        <v>69</v>
      </c>
      <c r="V66" s="182">
        <f t="shared" si="58"/>
        <v>69</v>
      </c>
      <c r="W66" s="182">
        <f t="shared" si="58"/>
        <v>69</v>
      </c>
      <c r="X66" s="328">
        <f t="shared" si="58"/>
        <v>57</v>
      </c>
      <c r="Y66" s="574">
        <f t="shared" si="58"/>
        <v>16</v>
      </c>
      <c r="Z66" s="90">
        <v>51</v>
      </c>
      <c r="AA66" s="20"/>
      <c r="AB66" s="7"/>
      <c r="AC66" s="7"/>
      <c r="AD66" s="7"/>
      <c r="AE66" s="7"/>
    </row>
    <row r="67" spans="1:46" s="11" customFormat="1" thickBot="1" x14ac:dyDescent="0.25">
      <c r="A67" s="580" t="s">
        <v>198</v>
      </c>
      <c r="B67" s="582">
        <f>IF(SUM(B55,B57,B59,B61,B63,B65)=0,B50*2,SUM(B55,B57,B59,B61,B63,B65))</f>
        <v>12</v>
      </c>
      <c r="C67" s="582">
        <f t="shared" si="58"/>
        <v>12</v>
      </c>
      <c r="D67" s="582">
        <f t="shared" si="58"/>
        <v>12</v>
      </c>
      <c r="E67" s="582">
        <f t="shared" si="58"/>
        <v>23</v>
      </c>
      <c r="F67" s="582">
        <f t="shared" si="58"/>
        <v>23</v>
      </c>
      <c r="G67" s="582">
        <f t="shared" si="58"/>
        <v>23</v>
      </c>
      <c r="H67" s="582">
        <f t="shared" si="58"/>
        <v>23</v>
      </c>
      <c r="I67" s="582">
        <f t="shared" si="58"/>
        <v>23</v>
      </c>
      <c r="J67" s="582">
        <f t="shared" si="58"/>
        <v>23</v>
      </c>
      <c r="K67" s="582">
        <f t="shared" si="58"/>
        <v>23</v>
      </c>
      <c r="L67" s="582">
        <f t="shared" si="58"/>
        <v>23</v>
      </c>
      <c r="M67" s="582">
        <f t="shared" si="58"/>
        <v>23</v>
      </c>
      <c r="N67" s="582">
        <f t="shared" si="58"/>
        <v>34</v>
      </c>
      <c r="O67" s="582">
        <f t="shared" si="58"/>
        <v>34</v>
      </c>
      <c r="P67" s="582">
        <f t="shared" si="58"/>
        <v>34</v>
      </c>
      <c r="Q67" s="582">
        <f t="shared" si="58"/>
        <v>39</v>
      </c>
      <c r="R67" s="582">
        <f t="shared" si="58"/>
        <v>39</v>
      </c>
      <c r="S67" s="582">
        <f t="shared" si="58"/>
        <v>45</v>
      </c>
      <c r="T67" s="582">
        <f t="shared" si="58"/>
        <v>45</v>
      </c>
      <c r="U67" s="582">
        <f t="shared" si="58"/>
        <v>45</v>
      </c>
      <c r="V67" s="582">
        <f t="shared" si="58"/>
        <v>45</v>
      </c>
      <c r="W67" s="582">
        <f t="shared" si="58"/>
        <v>45</v>
      </c>
      <c r="X67" s="329">
        <f t="shared" si="58"/>
        <v>39</v>
      </c>
      <c r="Y67" s="574">
        <f t="shared" si="58"/>
        <v>12</v>
      </c>
      <c r="Z67" s="90">
        <v>52</v>
      </c>
      <c r="AA67" s="20"/>
      <c r="AB67" s="7"/>
      <c r="AC67" s="7"/>
      <c r="AD67" s="18"/>
      <c r="AE67" s="7"/>
    </row>
    <row r="68" spans="1:46" s="11" customFormat="1" x14ac:dyDescent="0.2">
      <c r="A68" s="439" t="s">
        <v>199</v>
      </c>
      <c r="B68" s="62"/>
      <c r="C68" s="63"/>
      <c r="D68" s="63"/>
      <c r="E68" s="63"/>
      <c r="F68" s="63"/>
      <c r="G68" s="63"/>
      <c r="H68" s="63"/>
      <c r="I68" s="63"/>
      <c r="J68" s="63"/>
      <c r="K68" s="63"/>
      <c r="L68" s="63"/>
      <c r="M68" s="63"/>
      <c r="N68" s="63"/>
      <c r="O68" s="63"/>
      <c r="P68" s="63"/>
      <c r="Q68" s="63"/>
      <c r="R68" s="63"/>
      <c r="S68" s="63"/>
      <c r="T68" s="63"/>
      <c r="U68" s="63"/>
      <c r="V68" s="63"/>
      <c r="W68" s="63"/>
      <c r="X68" s="63"/>
      <c r="Y68" s="559"/>
      <c r="Z68" s="92">
        <v>53</v>
      </c>
      <c r="AA68" s="7"/>
      <c r="AB68" s="18"/>
      <c r="AC68" s="18"/>
      <c r="AD68" s="18"/>
      <c r="AE68" s="7"/>
    </row>
    <row r="69" spans="1:46" s="11" customFormat="1" ht="12" x14ac:dyDescent="0.2">
      <c r="A69" s="421" t="str">
        <f t="shared" ref="A69:A77" si="59">A105</f>
        <v>Pilot Upper Limit</v>
      </c>
      <c r="B69" s="17">
        <f t="shared" ref="B69:Y69" si="60">$B$105</f>
        <v>11</v>
      </c>
      <c r="C69" s="17">
        <f t="shared" si="60"/>
        <v>11</v>
      </c>
      <c r="D69" s="17">
        <f t="shared" si="60"/>
        <v>11</v>
      </c>
      <c r="E69" s="17">
        <f t="shared" si="60"/>
        <v>11</v>
      </c>
      <c r="F69" s="17">
        <f t="shared" si="60"/>
        <v>11</v>
      </c>
      <c r="G69" s="17">
        <f t="shared" si="60"/>
        <v>11</v>
      </c>
      <c r="H69" s="17">
        <f t="shared" si="60"/>
        <v>11</v>
      </c>
      <c r="I69" s="17">
        <f t="shared" si="60"/>
        <v>11</v>
      </c>
      <c r="J69" s="17">
        <f t="shared" si="60"/>
        <v>11</v>
      </c>
      <c r="K69" s="17">
        <f t="shared" si="60"/>
        <v>11</v>
      </c>
      <c r="L69" s="17">
        <f t="shared" si="60"/>
        <v>11</v>
      </c>
      <c r="M69" s="17">
        <f t="shared" si="60"/>
        <v>11</v>
      </c>
      <c r="N69" s="17">
        <f t="shared" si="60"/>
        <v>11</v>
      </c>
      <c r="O69" s="17">
        <f t="shared" si="60"/>
        <v>11</v>
      </c>
      <c r="P69" s="17">
        <f t="shared" si="60"/>
        <v>11</v>
      </c>
      <c r="Q69" s="17">
        <f t="shared" si="60"/>
        <v>11</v>
      </c>
      <c r="R69" s="17">
        <f t="shared" si="60"/>
        <v>11</v>
      </c>
      <c r="S69" s="17">
        <f t="shared" si="60"/>
        <v>11</v>
      </c>
      <c r="T69" s="17">
        <f t="shared" si="60"/>
        <v>11</v>
      </c>
      <c r="U69" s="17">
        <f t="shared" si="60"/>
        <v>11</v>
      </c>
      <c r="V69" s="17">
        <f t="shared" si="60"/>
        <v>11</v>
      </c>
      <c r="W69" s="17">
        <f t="shared" si="60"/>
        <v>11</v>
      </c>
      <c r="X69" s="330">
        <f t="shared" si="60"/>
        <v>11</v>
      </c>
      <c r="Y69" s="546">
        <f t="shared" si="60"/>
        <v>11</v>
      </c>
      <c r="Z69" s="90">
        <v>54</v>
      </c>
      <c r="AA69" s="7"/>
      <c r="AB69" s="18"/>
      <c r="AC69" s="18"/>
      <c r="AD69" s="18"/>
      <c r="AE69" s="7"/>
    </row>
    <row r="70" spans="1:46" s="11" customFormat="1" ht="12" x14ac:dyDescent="0.2">
      <c r="A70" s="427" t="str">
        <f t="shared" si="59"/>
        <v>Pilot Lower Limit</v>
      </c>
      <c r="B70" s="481">
        <f t="shared" ref="B70:Y70" si="61">ROUNDUP(IF(B$13="Deploy",MAX((B$99/100)*$B106,$B106),(B$99/100)*$B106),0)</f>
        <v>3</v>
      </c>
      <c r="C70" s="481">
        <f t="shared" si="61"/>
        <v>3</v>
      </c>
      <c r="D70" s="481">
        <f t="shared" si="61"/>
        <v>3</v>
      </c>
      <c r="E70" s="481">
        <f t="shared" si="61"/>
        <v>3</v>
      </c>
      <c r="F70" s="481">
        <f t="shared" si="61"/>
        <v>3</v>
      </c>
      <c r="G70" s="481">
        <f t="shared" si="61"/>
        <v>3</v>
      </c>
      <c r="H70" s="481">
        <f t="shared" si="61"/>
        <v>3</v>
      </c>
      <c r="I70" s="481">
        <f t="shared" si="61"/>
        <v>4</v>
      </c>
      <c r="J70" s="481">
        <f t="shared" si="61"/>
        <v>4</v>
      </c>
      <c r="K70" s="481">
        <f t="shared" si="61"/>
        <v>4</v>
      </c>
      <c r="L70" s="481">
        <f t="shared" si="61"/>
        <v>4</v>
      </c>
      <c r="M70" s="481">
        <f t="shared" si="61"/>
        <v>4</v>
      </c>
      <c r="N70" s="481">
        <f t="shared" si="61"/>
        <v>5</v>
      </c>
      <c r="O70" s="481">
        <f t="shared" si="61"/>
        <v>5</v>
      </c>
      <c r="P70" s="481">
        <f t="shared" si="61"/>
        <v>5</v>
      </c>
      <c r="Q70" s="481">
        <f t="shared" si="61"/>
        <v>5</v>
      </c>
      <c r="R70" s="481">
        <f t="shared" si="61"/>
        <v>5</v>
      </c>
      <c r="S70" s="481">
        <f t="shared" si="61"/>
        <v>5</v>
      </c>
      <c r="T70" s="481">
        <f t="shared" si="61"/>
        <v>5</v>
      </c>
      <c r="U70" s="481">
        <f t="shared" si="61"/>
        <v>5</v>
      </c>
      <c r="V70" s="481">
        <f t="shared" si="61"/>
        <v>5</v>
      </c>
      <c r="W70" s="481">
        <f t="shared" si="61"/>
        <v>4</v>
      </c>
      <c r="X70" s="479">
        <f t="shared" si="61"/>
        <v>4</v>
      </c>
      <c r="Y70" s="481">
        <f t="shared" si="61"/>
        <v>2</v>
      </c>
      <c r="Z70" s="90">
        <v>55</v>
      </c>
      <c r="AA70" s="7"/>
      <c r="AB70" s="18"/>
      <c r="AC70" s="18"/>
      <c r="AD70" s="18"/>
      <c r="AE70" s="7"/>
    </row>
    <row r="71" spans="1:46" s="11" customFormat="1" ht="12" x14ac:dyDescent="0.2">
      <c r="A71" s="421" t="str">
        <f t="shared" si="59"/>
        <v>NFO Upper Limit</v>
      </c>
      <c r="B71" s="482">
        <f t="shared" ref="B71:Y71" si="62">$B$107</f>
        <v>9</v>
      </c>
      <c r="C71" s="482">
        <f t="shared" si="62"/>
        <v>9</v>
      </c>
      <c r="D71" s="482">
        <f t="shared" si="62"/>
        <v>9</v>
      </c>
      <c r="E71" s="482">
        <f t="shared" si="62"/>
        <v>9</v>
      </c>
      <c r="F71" s="482">
        <f t="shared" si="62"/>
        <v>9</v>
      </c>
      <c r="G71" s="482">
        <f t="shared" si="62"/>
        <v>9</v>
      </c>
      <c r="H71" s="482">
        <f t="shared" si="62"/>
        <v>9</v>
      </c>
      <c r="I71" s="482">
        <f t="shared" si="62"/>
        <v>9</v>
      </c>
      <c r="J71" s="482">
        <f t="shared" si="62"/>
        <v>9</v>
      </c>
      <c r="K71" s="482">
        <f t="shared" si="62"/>
        <v>9</v>
      </c>
      <c r="L71" s="482">
        <f t="shared" si="62"/>
        <v>9</v>
      </c>
      <c r="M71" s="482">
        <f t="shared" si="62"/>
        <v>9</v>
      </c>
      <c r="N71" s="482">
        <f t="shared" si="62"/>
        <v>9</v>
      </c>
      <c r="O71" s="482">
        <f t="shared" si="62"/>
        <v>9</v>
      </c>
      <c r="P71" s="482">
        <f t="shared" si="62"/>
        <v>9</v>
      </c>
      <c r="Q71" s="482">
        <f t="shared" si="62"/>
        <v>9</v>
      </c>
      <c r="R71" s="482">
        <f t="shared" si="62"/>
        <v>9</v>
      </c>
      <c r="S71" s="482">
        <f t="shared" si="62"/>
        <v>9</v>
      </c>
      <c r="T71" s="482">
        <f t="shared" si="62"/>
        <v>9</v>
      </c>
      <c r="U71" s="482">
        <f t="shared" si="62"/>
        <v>9</v>
      </c>
      <c r="V71" s="482">
        <f t="shared" si="62"/>
        <v>9</v>
      </c>
      <c r="W71" s="482">
        <f t="shared" si="62"/>
        <v>9</v>
      </c>
      <c r="X71" s="483">
        <f t="shared" si="62"/>
        <v>9</v>
      </c>
      <c r="Y71" s="482">
        <f t="shared" si="62"/>
        <v>9</v>
      </c>
      <c r="Z71" s="92">
        <v>56</v>
      </c>
      <c r="AA71" s="7"/>
      <c r="AB71" s="18"/>
      <c r="AC71" s="18"/>
      <c r="AD71" s="18"/>
      <c r="AE71" s="18"/>
    </row>
    <row r="72" spans="1:46" s="11" customFormat="1" ht="12" x14ac:dyDescent="0.2">
      <c r="A72" s="427" t="str">
        <f t="shared" si="59"/>
        <v>NFO Lower Limit</v>
      </c>
      <c r="B72" s="481">
        <f t="shared" ref="B72:Y72" si="63">ROUNDUP(IF(B$13="Deploy",MAX((B$99/100)*$B108,$B108),(B$99/100)*$B108),0)</f>
        <v>3</v>
      </c>
      <c r="C72" s="481">
        <f t="shared" si="63"/>
        <v>3</v>
      </c>
      <c r="D72" s="481">
        <f t="shared" si="63"/>
        <v>3</v>
      </c>
      <c r="E72" s="481">
        <f t="shared" si="63"/>
        <v>3</v>
      </c>
      <c r="F72" s="481">
        <f t="shared" si="63"/>
        <v>3</v>
      </c>
      <c r="G72" s="481">
        <f t="shared" si="63"/>
        <v>3</v>
      </c>
      <c r="H72" s="481">
        <f t="shared" si="63"/>
        <v>3</v>
      </c>
      <c r="I72" s="481">
        <f t="shared" si="63"/>
        <v>4</v>
      </c>
      <c r="J72" s="481">
        <f t="shared" si="63"/>
        <v>4</v>
      </c>
      <c r="K72" s="481">
        <f t="shared" si="63"/>
        <v>4</v>
      </c>
      <c r="L72" s="481">
        <f t="shared" si="63"/>
        <v>4</v>
      </c>
      <c r="M72" s="481">
        <f t="shared" si="63"/>
        <v>4</v>
      </c>
      <c r="N72" s="481">
        <f t="shared" si="63"/>
        <v>5</v>
      </c>
      <c r="O72" s="481">
        <f t="shared" si="63"/>
        <v>5</v>
      </c>
      <c r="P72" s="481">
        <f t="shared" si="63"/>
        <v>5</v>
      </c>
      <c r="Q72" s="481">
        <f t="shared" si="63"/>
        <v>5</v>
      </c>
      <c r="R72" s="481">
        <f t="shared" si="63"/>
        <v>5</v>
      </c>
      <c r="S72" s="481">
        <f t="shared" si="63"/>
        <v>5</v>
      </c>
      <c r="T72" s="481">
        <f t="shared" si="63"/>
        <v>5</v>
      </c>
      <c r="U72" s="481">
        <f t="shared" si="63"/>
        <v>5</v>
      </c>
      <c r="V72" s="481">
        <f t="shared" si="63"/>
        <v>5</v>
      </c>
      <c r="W72" s="481">
        <f t="shared" si="63"/>
        <v>4</v>
      </c>
      <c r="X72" s="479">
        <f t="shared" si="63"/>
        <v>4</v>
      </c>
      <c r="Y72" s="481">
        <f t="shared" si="63"/>
        <v>2</v>
      </c>
      <c r="Z72" s="90">
        <v>57</v>
      </c>
      <c r="AA72" s="18"/>
      <c r="AB72" s="18"/>
      <c r="AC72" s="18"/>
      <c r="AD72" s="7"/>
      <c r="AE72" s="18"/>
    </row>
    <row r="73" spans="1:46" s="11" customFormat="1" ht="12" x14ac:dyDescent="0.2">
      <c r="A73" s="427" t="str">
        <f t="shared" si="59"/>
        <v>ACTC Level 5</v>
      </c>
      <c r="B73" s="481">
        <f>IF(B$13="Deploy",1,0)</f>
        <v>0</v>
      </c>
      <c r="C73" s="481">
        <f t="shared" ref="C73:Y73" si="64">IF(C$13="Deploy",1,0)</f>
        <v>0</v>
      </c>
      <c r="D73" s="481">
        <f t="shared" si="64"/>
        <v>0</v>
      </c>
      <c r="E73" s="481">
        <f t="shared" si="64"/>
        <v>0</v>
      </c>
      <c r="F73" s="481">
        <f t="shared" si="64"/>
        <v>0</v>
      </c>
      <c r="G73" s="481">
        <f t="shared" si="64"/>
        <v>0</v>
      </c>
      <c r="H73" s="481">
        <f t="shared" si="64"/>
        <v>0</v>
      </c>
      <c r="I73" s="481">
        <f t="shared" si="64"/>
        <v>0</v>
      </c>
      <c r="J73" s="481">
        <f t="shared" si="64"/>
        <v>0</v>
      </c>
      <c r="K73" s="481">
        <f t="shared" si="64"/>
        <v>0</v>
      </c>
      <c r="L73" s="481">
        <f t="shared" si="64"/>
        <v>0</v>
      </c>
      <c r="M73" s="481">
        <f t="shared" si="64"/>
        <v>0</v>
      </c>
      <c r="N73" s="481">
        <f t="shared" si="64"/>
        <v>0</v>
      </c>
      <c r="O73" s="481">
        <f t="shared" si="64"/>
        <v>0</v>
      </c>
      <c r="P73" s="481">
        <f t="shared" si="64"/>
        <v>0</v>
      </c>
      <c r="Q73" s="481">
        <f t="shared" si="64"/>
        <v>0</v>
      </c>
      <c r="R73" s="481">
        <f t="shared" si="64"/>
        <v>0</v>
      </c>
      <c r="S73" s="481">
        <f t="shared" si="64"/>
        <v>0</v>
      </c>
      <c r="T73" s="481">
        <f t="shared" si="64"/>
        <v>1</v>
      </c>
      <c r="U73" s="481">
        <f t="shared" si="64"/>
        <v>1</v>
      </c>
      <c r="V73" s="481">
        <f t="shared" si="64"/>
        <v>1</v>
      </c>
      <c r="W73" s="481">
        <f t="shared" si="64"/>
        <v>0</v>
      </c>
      <c r="X73" s="479">
        <f t="shared" si="64"/>
        <v>0</v>
      </c>
      <c r="Y73" s="481">
        <f t="shared" si="64"/>
        <v>0</v>
      </c>
      <c r="Z73" s="90">
        <v>58</v>
      </c>
      <c r="AA73" s="18"/>
      <c r="AB73" s="7"/>
      <c r="AC73" s="7"/>
      <c r="AD73" s="7"/>
      <c r="AE73" s="18"/>
    </row>
    <row r="74" spans="1:46" s="11" customFormat="1" ht="12" x14ac:dyDescent="0.2">
      <c r="A74" s="427" t="str">
        <f t="shared" si="59"/>
        <v>ACTC LEVEL &gt;= 4</v>
      </c>
      <c r="B74" s="481">
        <f t="shared" ref="B74:Y74" si="65">ROUNDUP(IF(B$13="Deploy",MAX((B$99/100)*$B110,$B110),(B$99/100)*$B110),0)</f>
        <v>3</v>
      </c>
      <c r="C74" s="481">
        <f t="shared" si="65"/>
        <v>3</v>
      </c>
      <c r="D74" s="481">
        <f t="shared" si="65"/>
        <v>3</v>
      </c>
      <c r="E74" s="481">
        <f t="shared" si="65"/>
        <v>3</v>
      </c>
      <c r="F74" s="481">
        <f t="shared" si="65"/>
        <v>3</v>
      </c>
      <c r="G74" s="481">
        <f t="shared" si="65"/>
        <v>3</v>
      </c>
      <c r="H74" s="481">
        <f t="shared" si="65"/>
        <v>3</v>
      </c>
      <c r="I74" s="481">
        <f t="shared" si="65"/>
        <v>4</v>
      </c>
      <c r="J74" s="481">
        <f t="shared" si="65"/>
        <v>4</v>
      </c>
      <c r="K74" s="481">
        <f t="shared" si="65"/>
        <v>4</v>
      </c>
      <c r="L74" s="481">
        <f t="shared" si="65"/>
        <v>4</v>
      </c>
      <c r="M74" s="481">
        <f t="shared" si="65"/>
        <v>4</v>
      </c>
      <c r="N74" s="481">
        <f t="shared" si="65"/>
        <v>5</v>
      </c>
      <c r="O74" s="481">
        <f t="shared" si="65"/>
        <v>5</v>
      </c>
      <c r="P74" s="481">
        <f t="shared" si="65"/>
        <v>5</v>
      </c>
      <c r="Q74" s="481">
        <f t="shared" si="65"/>
        <v>5</v>
      </c>
      <c r="R74" s="481">
        <f t="shared" si="65"/>
        <v>5</v>
      </c>
      <c r="S74" s="481">
        <f t="shared" si="65"/>
        <v>5</v>
      </c>
      <c r="T74" s="481">
        <f t="shared" si="65"/>
        <v>5</v>
      </c>
      <c r="U74" s="481">
        <f t="shared" si="65"/>
        <v>5</v>
      </c>
      <c r="V74" s="481">
        <f t="shared" si="65"/>
        <v>5</v>
      </c>
      <c r="W74" s="481">
        <f t="shared" si="65"/>
        <v>4</v>
      </c>
      <c r="X74" s="479">
        <f t="shared" si="65"/>
        <v>4</v>
      </c>
      <c r="Y74" s="481">
        <f t="shared" si="65"/>
        <v>2</v>
      </c>
      <c r="Z74" s="92">
        <v>59</v>
      </c>
      <c r="AA74" s="18"/>
      <c r="AB74" s="7"/>
      <c r="AC74" s="7"/>
      <c r="AD74" s="18"/>
      <c r="AE74" s="18"/>
    </row>
    <row r="75" spans="1:46" s="11" customFormat="1" ht="12" x14ac:dyDescent="0.2">
      <c r="A75" s="427" t="str">
        <f t="shared" si="59"/>
        <v>ACTC LEVEL &gt;= 3</v>
      </c>
      <c r="B75" s="481">
        <f t="shared" ref="B75:Y75" si="66">ROUNDUP(IF(B$13="Deploy",MAX((B$99/100)*$B111,$B111),(B$99/100)*$B111),0)</f>
        <v>6</v>
      </c>
      <c r="C75" s="481">
        <f t="shared" si="66"/>
        <v>5</v>
      </c>
      <c r="D75" s="481">
        <f t="shared" si="66"/>
        <v>5</v>
      </c>
      <c r="E75" s="481">
        <f t="shared" si="66"/>
        <v>5</v>
      </c>
      <c r="F75" s="481">
        <f t="shared" si="66"/>
        <v>5</v>
      </c>
      <c r="G75" s="481">
        <f t="shared" si="66"/>
        <v>6</v>
      </c>
      <c r="H75" s="481">
        <f t="shared" si="66"/>
        <v>6</v>
      </c>
      <c r="I75" s="481">
        <f t="shared" si="66"/>
        <v>6</v>
      </c>
      <c r="J75" s="481">
        <f t="shared" si="66"/>
        <v>6</v>
      </c>
      <c r="K75" s="481">
        <f t="shared" si="66"/>
        <v>7</v>
      </c>
      <c r="L75" s="481">
        <f t="shared" si="66"/>
        <v>7</v>
      </c>
      <c r="M75" s="481">
        <f t="shared" si="66"/>
        <v>7</v>
      </c>
      <c r="N75" s="481">
        <f t="shared" si="66"/>
        <v>8</v>
      </c>
      <c r="O75" s="481">
        <f t="shared" si="66"/>
        <v>8</v>
      </c>
      <c r="P75" s="481">
        <f t="shared" si="66"/>
        <v>9</v>
      </c>
      <c r="Q75" s="481">
        <f t="shared" si="66"/>
        <v>9</v>
      </c>
      <c r="R75" s="481">
        <f t="shared" si="66"/>
        <v>9</v>
      </c>
      <c r="S75" s="481">
        <f t="shared" si="66"/>
        <v>9</v>
      </c>
      <c r="T75" s="481">
        <f t="shared" si="66"/>
        <v>9</v>
      </c>
      <c r="U75" s="481">
        <f t="shared" si="66"/>
        <v>9</v>
      </c>
      <c r="V75" s="481">
        <f t="shared" si="66"/>
        <v>9</v>
      </c>
      <c r="W75" s="481">
        <f t="shared" si="66"/>
        <v>7</v>
      </c>
      <c r="X75" s="479">
        <f t="shared" si="66"/>
        <v>7</v>
      </c>
      <c r="Y75" s="481">
        <f t="shared" si="66"/>
        <v>4</v>
      </c>
      <c r="Z75" s="90">
        <v>60</v>
      </c>
      <c r="AA75" s="18"/>
      <c r="AB75" s="18"/>
      <c r="AC75" s="18"/>
      <c r="AE75" s="18"/>
    </row>
    <row r="76" spans="1:46" s="11" customFormat="1" ht="12" x14ac:dyDescent="0.2">
      <c r="A76" s="427" t="str">
        <f t="shared" si="59"/>
        <v>ACTC LEVEL &gt;= 2</v>
      </c>
      <c r="B76" s="481">
        <f t="shared" ref="B76:Y76" si="67">ROUNDUP(IF(B$13="Deploy",MAX((B$99/100)*$B112,$B112),(B$99/100)*$B112),0)</f>
        <v>9</v>
      </c>
      <c r="C76" s="481">
        <f t="shared" si="67"/>
        <v>8</v>
      </c>
      <c r="D76" s="481">
        <f t="shared" si="67"/>
        <v>7</v>
      </c>
      <c r="E76" s="481">
        <f t="shared" si="67"/>
        <v>7</v>
      </c>
      <c r="F76" s="481">
        <f t="shared" si="67"/>
        <v>7</v>
      </c>
      <c r="G76" s="481">
        <f t="shared" si="67"/>
        <v>9</v>
      </c>
      <c r="H76" s="481">
        <f t="shared" si="67"/>
        <v>9</v>
      </c>
      <c r="I76" s="481">
        <f t="shared" si="67"/>
        <v>9</v>
      </c>
      <c r="J76" s="481">
        <f t="shared" si="67"/>
        <v>9</v>
      </c>
      <c r="K76" s="481">
        <f t="shared" si="67"/>
        <v>10</v>
      </c>
      <c r="L76" s="481">
        <f t="shared" si="67"/>
        <v>10</v>
      </c>
      <c r="M76" s="481">
        <f t="shared" si="67"/>
        <v>10</v>
      </c>
      <c r="N76" s="481">
        <f t="shared" si="67"/>
        <v>12</v>
      </c>
      <c r="O76" s="481">
        <f t="shared" si="67"/>
        <v>12</v>
      </c>
      <c r="P76" s="481">
        <f t="shared" si="67"/>
        <v>14</v>
      </c>
      <c r="Q76" s="481">
        <f t="shared" si="67"/>
        <v>14</v>
      </c>
      <c r="R76" s="481">
        <f t="shared" si="67"/>
        <v>14</v>
      </c>
      <c r="S76" s="481">
        <f t="shared" si="67"/>
        <v>14</v>
      </c>
      <c r="T76" s="481">
        <f t="shared" si="67"/>
        <v>14</v>
      </c>
      <c r="U76" s="481">
        <f t="shared" si="67"/>
        <v>14</v>
      </c>
      <c r="V76" s="481">
        <f t="shared" si="67"/>
        <v>14</v>
      </c>
      <c r="W76" s="481">
        <f t="shared" si="67"/>
        <v>10</v>
      </c>
      <c r="X76" s="479">
        <f t="shared" si="67"/>
        <v>10</v>
      </c>
      <c r="Y76" s="481">
        <f t="shared" si="67"/>
        <v>6</v>
      </c>
      <c r="Z76" s="90">
        <v>61</v>
      </c>
      <c r="AA76" s="18"/>
    </row>
    <row r="77" spans="1:46" s="11" customFormat="1" ht="12" x14ac:dyDescent="0.2">
      <c r="A77" s="427" t="str">
        <f t="shared" si="59"/>
        <v>CVW STK Lead</v>
      </c>
      <c r="B77" s="481" t="s">
        <v>200</v>
      </c>
      <c r="C77" s="481" t="s">
        <v>200</v>
      </c>
      <c r="D77" s="481" t="s">
        <v>200</v>
      </c>
      <c r="E77" s="481" t="s">
        <v>200</v>
      </c>
      <c r="F77" s="481" t="s">
        <v>200</v>
      </c>
      <c r="G77" s="481" t="s">
        <v>200</v>
      </c>
      <c r="H77" s="481" t="s">
        <v>200</v>
      </c>
      <c r="I77" s="481" t="s">
        <v>200</v>
      </c>
      <c r="J77" s="481" t="s">
        <v>200</v>
      </c>
      <c r="K77" s="481" t="s">
        <v>200</v>
      </c>
      <c r="L77" s="481" t="s">
        <v>200</v>
      </c>
      <c r="M77" s="481" t="s">
        <v>200</v>
      </c>
      <c r="N77" s="481" t="s">
        <v>200</v>
      </c>
      <c r="O77" s="481" t="s">
        <v>200</v>
      </c>
      <c r="P77" s="481" t="s">
        <v>200</v>
      </c>
      <c r="Q77" s="481" t="s">
        <v>200</v>
      </c>
      <c r="R77" s="481" t="s">
        <v>200</v>
      </c>
      <c r="S77" s="481" t="s">
        <v>200</v>
      </c>
      <c r="T77" s="481" t="s">
        <v>200</v>
      </c>
      <c r="U77" s="481" t="s">
        <v>200</v>
      </c>
      <c r="V77" s="481" t="s">
        <v>200</v>
      </c>
      <c r="W77" s="481" t="s">
        <v>200</v>
      </c>
      <c r="X77" s="479" t="s">
        <v>200</v>
      </c>
      <c r="Y77" s="481" t="s">
        <v>200</v>
      </c>
      <c r="Z77" s="92">
        <v>62</v>
      </c>
      <c r="AF77" s="274"/>
      <c r="AG77" s="274"/>
      <c r="AH77" s="274"/>
      <c r="AI77" s="274"/>
      <c r="AJ77" s="274"/>
      <c r="AK77" s="274"/>
    </row>
    <row r="78" spans="1:46" s="263" customFormat="1" ht="12" x14ac:dyDescent="0.2">
      <c r="A78" s="427" t="str">
        <f>A114</f>
        <v>NVD QUALIFIED AIRCREW</v>
      </c>
      <c r="B78" s="481">
        <f t="shared" ref="B78:Y78" si="68">ROUNDUP(IF(B$13="Deploy",MAX((B$99/100)*$B114,$B114),(B$99/100)*$B114),0)</f>
        <v>9</v>
      </c>
      <c r="C78" s="481">
        <f t="shared" si="68"/>
        <v>8</v>
      </c>
      <c r="D78" s="481">
        <f t="shared" si="68"/>
        <v>7</v>
      </c>
      <c r="E78" s="481">
        <f t="shared" si="68"/>
        <v>7</v>
      </c>
      <c r="F78" s="481">
        <f t="shared" si="68"/>
        <v>7</v>
      </c>
      <c r="G78" s="481">
        <f t="shared" si="68"/>
        <v>9</v>
      </c>
      <c r="H78" s="481">
        <f t="shared" si="68"/>
        <v>9</v>
      </c>
      <c r="I78" s="481">
        <f t="shared" si="68"/>
        <v>9</v>
      </c>
      <c r="J78" s="481">
        <f t="shared" si="68"/>
        <v>9</v>
      </c>
      <c r="K78" s="481">
        <f t="shared" si="68"/>
        <v>10</v>
      </c>
      <c r="L78" s="481">
        <f t="shared" si="68"/>
        <v>10</v>
      </c>
      <c r="M78" s="481">
        <f t="shared" si="68"/>
        <v>10</v>
      </c>
      <c r="N78" s="481">
        <f t="shared" si="68"/>
        <v>12</v>
      </c>
      <c r="O78" s="481">
        <f t="shared" si="68"/>
        <v>12</v>
      </c>
      <c r="P78" s="481">
        <f t="shared" si="68"/>
        <v>14</v>
      </c>
      <c r="Q78" s="481">
        <f t="shared" si="68"/>
        <v>14</v>
      </c>
      <c r="R78" s="481">
        <f t="shared" si="68"/>
        <v>14</v>
      </c>
      <c r="S78" s="481">
        <f t="shared" si="68"/>
        <v>14</v>
      </c>
      <c r="T78" s="481">
        <f t="shared" si="68"/>
        <v>14</v>
      </c>
      <c r="U78" s="481">
        <f t="shared" si="68"/>
        <v>14</v>
      </c>
      <c r="V78" s="481">
        <f t="shared" si="68"/>
        <v>14</v>
      </c>
      <c r="W78" s="481">
        <f t="shared" si="68"/>
        <v>10</v>
      </c>
      <c r="X78" s="479">
        <f t="shared" si="68"/>
        <v>10</v>
      </c>
      <c r="Y78" s="481">
        <f t="shared" si="68"/>
        <v>6</v>
      </c>
      <c r="Z78" s="90">
        <v>63</v>
      </c>
      <c r="AA78" s="11"/>
      <c r="AB78" s="11"/>
      <c r="AC78" s="11"/>
      <c r="AD78" s="11"/>
      <c r="AE78" s="11"/>
      <c r="AF78" s="278"/>
      <c r="AG78" s="278"/>
      <c r="AH78" s="278"/>
      <c r="AI78" s="278"/>
      <c r="AJ78" s="278"/>
      <c r="AK78" s="278"/>
      <c r="AL78" s="274"/>
      <c r="AM78" s="274"/>
      <c r="AN78" s="274"/>
      <c r="AO78" s="274"/>
      <c r="AP78" s="274"/>
      <c r="AQ78" s="274"/>
      <c r="AR78" s="274"/>
      <c r="AS78" s="274"/>
      <c r="AT78" s="274"/>
    </row>
    <row r="79" spans="1:46" s="278" customFormat="1" ht="12" x14ac:dyDescent="0.2">
      <c r="A79" s="427" t="str">
        <f>A115</f>
        <v>JHMCS</v>
      </c>
      <c r="B79" s="481">
        <f t="shared" ref="B79:Y79" si="69">ROUNDUP(IF(B$13="Deploy",MAX((B$99/100)*$B115,$B115),(B$99/100)*$B115),0)</f>
        <v>9</v>
      </c>
      <c r="C79" s="481">
        <f t="shared" si="69"/>
        <v>8</v>
      </c>
      <c r="D79" s="481">
        <f t="shared" si="69"/>
        <v>7</v>
      </c>
      <c r="E79" s="481">
        <f t="shared" si="69"/>
        <v>7</v>
      </c>
      <c r="F79" s="481">
        <f t="shared" si="69"/>
        <v>7</v>
      </c>
      <c r="G79" s="481">
        <f t="shared" si="69"/>
        <v>9</v>
      </c>
      <c r="H79" s="481">
        <f t="shared" si="69"/>
        <v>9</v>
      </c>
      <c r="I79" s="481">
        <f t="shared" si="69"/>
        <v>9</v>
      </c>
      <c r="J79" s="481">
        <f t="shared" si="69"/>
        <v>9</v>
      </c>
      <c r="K79" s="481">
        <f t="shared" si="69"/>
        <v>10</v>
      </c>
      <c r="L79" s="481">
        <f t="shared" si="69"/>
        <v>10</v>
      </c>
      <c r="M79" s="481">
        <f t="shared" si="69"/>
        <v>10</v>
      </c>
      <c r="N79" s="481">
        <f t="shared" si="69"/>
        <v>12</v>
      </c>
      <c r="O79" s="481">
        <f t="shared" si="69"/>
        <v>12</v>
      </c>
      <c r="P79" s="481">
        <f t="shared" si="69"/>
        <v>14</v>
      </c>
      <c r="Q79" s="481">
        <f t="shared" si="69"/>
        <v>14</v>
      </c>
      <c r="R79" s="481">
        <f t="shared" si="69"/>
        <v>14</v>
      </c>
      <c r="S79" s="481">
        <f t="shared" si="69"/>
        <v>14</v>
      </c>
      <c r="T79" s="481">
        <f t="shared" si="69"/>
        <v>14</v>
      </c>
      <c r="U79" s="481">
        <f t="shared" si="69"/>
        <v>14</v>
      </c>
      <c r="V79" s="481">
        <f t="shared" si="69"/>
        <v>14</v>
      </c>
      <c r="W79" s="481">
        <f t="shared" si="69"/>
        <v>10</v>
      </c>
      <c r="X79" s="479">
        <f t="shared" si="69"/>
        <v>10</v>
      </c>
      <c r="Y79" s="481">
        <f t="shared" si="69"/>
        <v>6</v>
      </c>
      <c r="Z79" s="90">
        <v>64</v>
      </c>
      <c r="AA79" s="11"/>
      <c r="AB79" s="11"/>
      <c r="AC79" s="11"/>
      <c r="AD79" s="274"/>
      <c r="AE79" s="11"/>
      <c r="AF79" s="274"/>
      <c r="AG79" s="274"/>
      <c r="AH79" s="274"/>
      <c r="AI79" s="274"/>
      <c r="AJ79" s="274"/>
      <c r="AK79" s="274"/>
    </row>
    <row r="80" spans="1:46" s="263" customFormat="1" ht="12" x14ac:dyDescent="0.2">
      <c r="A80" s="427" t="str">
        <f t="shared" ref="A80" si="70">A116</f>
        <v>Required Skilled Crews</v>
      </c>
      <c r="B80" s="481">
        <f t="shared" ref="B80:Y80" si="71">ROUNDUP(IF(B$13="Deploy",MAX((B$99/100)*$B116,$B116),(B$99/100)*$B116),0)</f>
        <v>5</v>
      </c>
      <c r="C80" s="481">
        <f t="shared" si="71"/>
        <v>5</v>
      </c>
      <c r="D80" s="481">
        <f t="shared" si="71"/>
        <v>4</v>
      </c>
      <c r="E80" s="481">
        <f t="shared" si="71"/>
        <v>4</v>
      </c>
      <c r="F80" s="481">
        <f t="shared" si="71"/>
        <v>4</v>
      </c>
      <c r="G80" s="481">
        <f t="shared" si="71"/>
        <v>5</v>
      </c>
      <c r="H80" s="481">
        <f t="shared" si="71"/>
        <v>5</v>
      </c>
      <c r="I80" s="481">
        <f t="shared" si="71"/>
        <v>5</v>
      </c>
      <c r="J80" s="481">
        <f t="shared" si="71"/>
        <v>5</v>
      </c>
      <c r="K80" s="481">
        <f t="shared" si="71"/>
        <v>6</v>
      </c>
      <c r="L80" s="481">
        <f t="shared" si="71"/>
        <v>6</v>
      </c>
      <c r="M80" s="481">
        <f t="shared" si="71"/>
        <v>6</v>
      </c>
      <c r="N80" s="481">
        <f t="shared" si="71"/>
        <v>7</v>
      </c>
      <c r="O80" s="481">
        <f t="shared" si="71"/>
        <v>7</v>
      </c>
      <c r="P80" s="481">
        <f t="shared" si="71"/>
        <v>8</v>
      </c>
      <c r="Q80" s="481">
        <f t="shared" si="71"/>
        <v>8</v>
      </c>
      <c r="R80" s="481">
        <f t="shared" si="71"/>
        <v>8</v>
      </c>
      <c r="S80" s="481">
        <f t="shared" si="71"/>
        <v>8</v>
      </c>
      <c r="T80" s="481">
        <f t="shared" si="71"/>
        <v>8</v>
      </c>
      <c r="U80" s="481">
        <f t="shared" si="71"/>
        <v>8</v>
      </c>
      <c r="V80" s="481">
        <f t="shared" si="71"/>
        <v>8</v>
      </c>
      <c r="W80" s="481">
        <f t="shared" si="71"/>
        <v>6</v>
      </c>
      <c r="X80" s="479">
        <f t="shared" si="71"/>
        <v>6</v>
      </c>
      <c r="Y80" s="481">
        <f t="shared" si="71"/>
        <v>3</v>
      </c>
      <c r="Z80" s="92">
        <v>65</v>
      </c>
      <c r="AA80" s="11"/>
      <c r="AB80" s="299"/>
      <c r="AC80" s="299"/>
      <c r="AD80" s="278"/>
      <c r="AE80" s="274"/>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486"/>
      <c r="Z81" s="299"/>
      <c r="AA81" s="299"/>
      <c r="AB81" s="300"/>
      <c r="AC81" s="300"/>
      <c r="AD81" s="274"/>
      <c r="AE81" s="278"/>
      <c r="AF81" s="278"/>
      <c r="AG81" s="278"/>
      <c r="AH81" s="278"/>
      <c r="AI81" s="278"/>
      <c r="AJ81" s="278"/>
      <c r="AK81" s="278"/>
      <c r="AL81" s="274"/>
      <c r="AM81" s="274"/>
      <c r="AN81" s="274"/>
      <c r="AO81" s="274"/>
      <c r="AP81" s="274"/>
      <c r="AQ81" s="274"/>
      <c r="AR81" s="274"/>
      <c r="AS81" s="274"/>
      <c r="AT81" s="274"/>
    </row>
    <row r="82" spans="1:46" s="278" customFormat="1" ht="12" x14ac:dyDescent="0.2">
      <c r="A82" s="427" t="s">
        <v>203</v>
      </c>
      <c r="B82" s="296">
        <v>0.9</v>
      </c>
      <c r="C82" s="296">
        <v>0.9</v>
      </c>
      <c r="D82" s="296">
        <v>0.9</v>
      </c>
      <c r="E82" s="296">
        <v>0.9</v>
      </c>
      <c r="F82" s="296">
        <v>0.9</v>
      </c>
      <c r="G82" s="296">
        <v>0.9</v>
      </c>
      <c r="H82" s="296">
        <v>0.9</v>
      </c>
      <c r="I82" s="296">
        <v>0.9</v>
      </c>
      <c r="J82" s="296">
        <v>0.9</v>
      </c>
      <c r="K82" s="296">
        <v>0.9</v>
      </c>
      <c r="L82" s="296">
        <v>0.9</v>
      </c>
      <c r="M82" s="296">
        <v>0.9</v>
      </c>
      <c r="N82" s="296">
        <v>0.9</v>
      </c>
      <c r="O82" s="296">
        <v>0.9</v>
      </c>
      <c r="P82" s="296">
        <v>0.9</v>
      </c>
      <c r="Q82" s="296">
        <v>0.9</v>
      </c>
      <c r="R82" s="296">
        <v>0.9</v>
      </c>
      <c r="S82" s="296">
        <v>0.9</v>
      </c>
      <c r="T82" s="296">
        <v>0.9</v>
      </c>
      <c r="U82" s="296">
        <v>0.9</v>
      </c>
      <c r="V82" s="296">
        <v>0.9</v>
      </c>
      <c r="W82" s="296">
        <v>0.9</v>
      </c>
      <c r="X82" s="331">
        <v>0.9</v>
      </c>
      <c r="Y82" s="487">
        <v>0.9</v>
      </c>
      <c r="Z82" s="287"/>
      <c r="AA82" s="300"/>
      <c r="AB82" s="300"/>
      <c r="AC82" s="300"/>
      <c r="AD82" s="274"/>
      <c r="AE82" s="274"/>
      <c r="AF82" s="7"/>
      <c r="AG82" s="7"/>
      <c r="AH82" s="7"/>
      <c r="AI82" s="7"/>
      <c r="AJ82" s="7"/>
      <c r="AK82" s="7"/>
    </row>
    <row r="83" spans="1:46" ht="12" x14ac:dyDescent="0.2">
      <c r="A83" s="427" t="s">
        <v>204</v>
      </c>
      <c r="B83" s="487">
        <v>0.9</v>
      </c>
      <c r="C83" s="487">
        <v>0.9</v>
      </c>
      <c r="D83" s="487">
        <v>0.9</v>
      </c>
      <c r="E83" s="487">
        <v>0.9</v>
      </c>
      <c r="F83" s="487">
        <v>0.9</v>
      </c>
      <c r="G83" s="487">
        <v>0.9</v>
      </c>
      <c r="H83" s="487">
        <v>0.9</v>
      </c>
      <c r="I83" s="487">
        <v>0.9</v>
      </c>
      <c r="J83" s="487">
        <v>0.9</v>
      </c>
      <c r="K83" s="487">
        <v>0.9</v>
      </c>
      <c r="L83" s="487">
        <v>0.9</v>
      </c>
      <c r="M83" s="487">
        <v>0.9</v>
      </c>
      <c r="N83" s="487">
        <v>0.9</v>
      </c>
      <c r="O83" s="487">
        <v>0.9</v>
      </c>
      <c r="P83" s="487">
        <v>0.9</v>
      </c>
      <c r="Q83" s="487">
        <v>0.9</v>
      </c>
      <c r="R83" s="487">
        <v>0.9</v>
      </c>
      <c r="S83" s="487">
        <v>0.9</v>
      </c>
      <c r="T83" s="487">
        <v>0.9</v>
      </c>
      <c r="U83" s="487">
        <v>0.9</v>
      </c>
      <c r="V83" s="487">
        <v>0.9</v>
      </c>
      <c r="W83" s="487">
        <v>0.9</v>
      </c>
      <c r="X83" s="488">
        <v>0.9</v>
      </c>
      <c r="Y83" s="487">
        <v>0.9</v>
      </c>
      <c r="Z83" s="287"/>
      <c r="AA83" s="300"/>
      <c r="AB83" s="300"/>
      <c r="AC83" s="300"/>
      <c r="AD83" s="278"/>
      <c r="AE83" s="274"/>
    </row>
    <row r="84" spans="1:46"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8">
        <v>0.75</v>
      </c>
      <c r="Y84" s="487">
        <v>0.75</v>
      </c>
      <c r="Z84" s="287"/>
      <c r="AA84" s="300"/>
      <c r="AB84" s="300"/>
      <c r="AC84" s="300"/>
      <c r="AD84" s="121"/>
      <c r="AE84" s="11"/>
    </row>
    <row r="85" spans="1:46" x14ac:dyDescent="0.2">
      <c r="A85" s="183"/>
      <c r="B85" s="177"/>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90"/>
      <c r="AA85" s="11"/>
      <c r="AB85" s="121"/>
      <c r="AC85" s="121"/>
      <c r="AD85" s="121"/>
      <c r="AE85" s="11"/>
      <c r="AF85" s="11"/>
      <c r="AG85" s="11"/>
      <c r="AH85" s="11"/>
      <c r="AI85" s="11"/>
      <c r="AJ85" s="11"/>
      <c r="AK85" s="11"/>
    </row>
    <row r="86" spans="1:46" s="11" customFormat="1" x14ac:dyDescent="0.2">
      <c r="A86" s="41"/>
      <c r="B86" s="41"/>
      <c r="C86" s="41"/>
      <c r="D86" s="41"/>
      <c r="E86" s="184" t="s">
        <v>207</v>
      </c>
      <c r="F86" s="173"/>
      <c r="G86" s="121"/>
      <c r="H86" s="86"/>
      <c r="I86" s="114"/>
      <c r="J86" s="114"/>
      <c r="K86" s="173"/>
      <c r="L86" s="173"/>
      <c r="M86" s="185"/>
      <c r="N86" s="86"/>
      <c r="O86" s="41"/>
      <c r="P86" s="41"/>
      <c r="Q86" s="41"/>
      <c r="R86" s="41"/>
      <c r="S86" s="41"/>
      <c r="T86" s="41"/>
      <c r="U86" s="41"/>
      <c r="V86" s="41"/>
      <c r="W86" s="18"/>
      <c r="X86" s="18"/>
      <c r="Y86" s="18"/>
      <c r="Z86" s="92"/>
      <c r="AB86" s="121"/>
      <c r="AC86" s="121"/>
      <c r="AD86" s="7"/>
      <c r="AE86" s="121"/>
    </row>
    <row r="87" spans="1:46" s="11" customFormat="1" x14ac:dyDescent="0.2">
      <c r="A87" s="41"/>
      <c r="B87" s="41"/>
      <c r="C87" s="41"/>
      <c r="D87" s="41"/>
      <c r="E87" s="175" t="s">
        <v>209</v>
      </c>
      <c r="F87" s="85"/>
      <c r="G87" s="174" t="s">
        <v>210</v>
      </c>
      <c r="H87" s="7"/>
      <c r="I87" s="117"/>
      <c r="J87" s="114"/>
      <c r="K87" s="173"/>
      <c r="L87" s="173"/>
      <c r="M87" s="186"/>
      <c r="N87" s="117"/>
      <c r="O87" s="41"/>
      <c r="P87" s="41"/>
      <c r="Q87" s="41"/>
      <c r="R87" s="41"/>
      <c r="S87" s="41"/>
      <c r="T87" s="41"/>
      <c r="U87" s="41"/>
      <c r="V87" s="41"/>
      <c r="W87" s="7"/>
      <c r="X87" s="7"/>
      <c r="Y87" s="7"/>
      <c r="Z87" s="85"/>
      <c r="AA87" s="121"/>
      <c r="AB87" s="7"/>
      <c r="AC87" s="7"/>
      <c r="AD87" s="99"/>
      <c r="AE87" s="85"/>
    </row>
    <row r="88" spans="1:46" s="11" customFormat="1" x14ac:dyDescent="0.2">
      <c r="A88" s="187" t="s">
        <v>206</v>
      </c>
      <c r="B88" s="41"/>
      <c r="C88" s="41"/>
      <c r="D88" s="41"/>
      <c r="E88" s="175" t="s">
        <v>211</v>
      </c>
      <c r="F88" s="85"/>
      <c r="G88" s="118" t="s">
        <v>212</v>
      </c>
      <c r="H88" s="7"/>
      <c r="I88" s="117"/>
      <c r="J88" s="114"/>
      <c r="K88" s="173"/>
      <c r="L88" s="173"/>
      <c r="M88" s="178"/>
      <c r="N88" s="117"/>
      <c r="O88" s="41"/>
      <c r="P88" s="41"/>
      <c r="Q88" s="41"/>
      <c r="R88" s="41"/>
      <c r="S88" s="41"/>
      <c r="T88" s="41"/>
      <c r="U88" s="41"/>
      <c r="V88" s="41"/>
      <c r="W88" s="7"/>
      <c r="X88" s="7"/>
      <c r="Y88" s="7"/>
      <c r="Z88" s="85"/>
      <c r="AA88" s="85"/>
      <c r="AB88" s="99"/>
      <c r="AC88" s="99"/>
      <c r="AD88" s="7"/>
      <c r="AE88" s="85"/>
    </row>
    <row r="89" spans="1:46" s="11" customFormat="1" x14ac:dyDescent="0.2">
      <c r="A89" s="174" t="s">
        <v>279</v>
      </c>
      <c r="B89" s="41"/>
      <c r="C89" s="41"/>
      <c r="D89" s="41"/>
      <c r="E89" s="175" t="s">
        <v>213</v>
      </c>
      <c r="F89" s="85"/>
      <c r="G89" s="188" t="s">
        <v>214</v>
      </c>
      <c r="H89" s="7"/>
      <c r="I89" s="86"/>
      <c r="J89" s="86"/>
      <c r="K89" s="86"/>
      <c r="L89" s="86"/>
      <c r="M89" s="41"/>
      <c r="N89" s="86"/>
      <c r="O89" s="41"/>
      <c r="P89" s="41"/>
      <c r="Q89" s="41"/>
      <c r="R89" s="41"/>
      <c r="S89" s="41"/>
      <c r="T89" s="41"/>
      <c r="U89" s="41"/>
      <c r="V89" s="41"/>
      <c r="W89" s="7"/>
      <c r="X89" s="7"/>
      <c r="Y89" s="7"/>
      <c r="Z89" s="85"/>
      <c r="AA89" s="85"/>
      <c r="AB89" s="7"/>
      <c r="AC89" s="7"/>
      <c r="AD89" s="7"/>
      <c r="AE89" s="85"/>
    </row>
    <row r="90" spans="1:46" s="11" customFormat="1" x14ac:dyDescent="0.2">
      <c r="A90" s="41"/>
      <c r="B90" s="86"/>
      <c r="C90" s="86"/>
      <c r="D90" s="86"/>
      <c r="E90" s="175" t="s">
        <v>215</v>
      </c>
      <c r="F90" s="85"/>
      <c r="G90" s="188" t="s">
        <v>216</v>
      </c>
      <c r="H90" s="7"/>
      <c r="I90" s="86"/>
      <c r="J90" s="86"/>
      <c r="K90" s="86"/>
      <c r="L90" s="86"/>
      <c r="M90" s="41"/>
      <c r="N90" s="86"/>
      <c r="O90" s="86"/>
      <c r="P90" s="41"/>
      <c r="Q90" s="41"/>
      <c r="R90" s="41"/>
      <c r="S90" s="41"/>
      <c r="T90" s="41"/>
      <c r="U90" s="41"/>
      <c r="V90" s="41"/>
      <c r="W90" s="7"/>
      <c r="X90" s="7"/>
      <c r="Y90" s="7"/>
      <c r="Z90" s="85"/>
      <c r="AA90" s="85"/>
      <c r="AB90" s="7"/>
      <c r="AC90" s="7"/>
      <c r="AD90" s="7"/>
      <c r="AE90" s="7"/>
    </row>
    <row r="91" spans="1:46" s="11" customFormat="1" x14ac:dyDescent="0.2">
      <c r="A91" s="41"/>
      <c r="B91" s="86"/>
      <c r="C91" s="86"/>
      <c r="D91" s="86"/>
      <c r="E91" s="86"/>
      <c r="F91" s="86"/>
      <c r="G91" s="86"/>
      <c r="H91" s="41"/>
      <c r="I91" s="86"/>
      <c r="J91" s="86"/>
      <c r="K91" s="86"/>
      <c r="L91" s="86"/>
      <c r="M91" s="41"/>
      <c r="N91" s="86"/>
      <c r="O91" s="86"/>
      <c r="P91" s="41"/>
      <c r="Q91" s="41"/>
      <c r="R91" s="41"/>
      <c r="S91" s="41"/>
      <c r="T91" s="41"/>
      <c r="U91" s="41"/>
      <c r="V91" s="41"/>
      <c r="W91" s="175"/>
      <c r="X91" s="85"/>
      <c r="Y91" s="7"/>
      <c r="Z91" s="85"/>
      <c r="AA91" s="7"/>
      <c r="AB91" s="7"/>
      <c r="AC91" s="7"/>
      <c r="AD91" s="7"/>
      <c r="AE91" s="99"/>
    </row>
    <row r="92" spans="1:46" s="11" customFormat="1" ht="13.5" thickBot="1" x14ac:dyDescent="0.25">
      <c r="A92" s="7"/>
      <c r="B92" s="7"/>
      <c r="C92" s="7"/>
      <c r="D92" s="7"/>
      <c r="E92" s="7"/>
      <c r="F92" s="7"/>
      <c r="G92" s="7"/>
      <c r="H92" s="7"/>
      <c r="I92" s="7"/>
      <c r="J92" s="7"/>
      <c r="K92" s="7"/>
      <c r="L92" s="7"/>
      <c r="M92" s="7"/>
      <c r="N92" s="7"/>
      <c r="O92" s="7"/>
      <c r="P92" s="7"/>
      <c r="Q92" s="7"/>
      <c r="R92" s="7"/>
      <c r="S92" s="7"/>
      <c r="T92" s="7"/>
      <c r="U92" s="7"/>
      <c r="V92" s="7"/>
      <c r="W92" s="7"/>
      <c r="X92" s="7"/>
      <c r="Y92" s="7"/>
      <c r="Z92" s="85"/>
      <c r="AA92" s="99"/>
      <c r="AB92" s="7"/>
      <c r="AC92" s="7"/>
      <c r="AD92" s="7"/>
      <c r="AE92" s="7"/>
      <c r="AF92" s="18"/>
      <c r="AG92" s="18"/>
      <c r="AH92" s="18"/>
      <c r="AI92" s="18"/>
      <c r="AJ92" s="18"/>
      <c r="AK92" s="18"/>
    </row>
    <row r="93" spans="1:46" s="18" customFormat="1" ht="13.5" thickBot="1" x14ac:dyDescent="0.25">
      <c r="A93" s="666" t="s">
        <v>217</v>
      </c>
      <c r="B93" s="667"/>
      <c r="C93" s="667"/>
      <c r="D93" s="667"/>
      <c r="E93" s="667"/>
      <c r="F93" s="667"/>
      <c r="G93" s="667"/>
      <c r="H93" s="667"/>
      <c r="I93" s="667"/>
      <c r="J93" s="667"/>
      <c r="K93" s="667"/>
      <c r="L93" s="667"/>
      <c r="M93" s="667"/>
      <c r="N93" s="667"/>
      <c r="O93" s="667"/>
      <c r="P93" s="667"/>
      <c r="Q93" s="667"/>
      <c r="R93" s="667"/>
      <c r="S93" s="667"/>
      <c r="T93" s="667"/>
      <c r="U93" s="667"/>
      <c r="V93" s="667"/>
      <c r="W93" s="667"/>
      <c r="X93" s="667"/>
      <c r="Y93" s="668"/>
      <c r="Z93" s="85"/>
      <c r="AA93" s="7"/>
      <c r="AB93" s="7"/>
      <c r="AC93" s="7"/>
      <c r="AD93" s="7"/>
      <c r="AE93" s="7"/>
    </row>
    <row r="94" spans="1:46" s="18" customFormat="1" ht="12" x14ac:dyDescent="0.2">
      <c r="A94" s="209" t="s">
        <v>218</v>
      </c>
      <c r="B94" s="210">
        <f>MIN(100,B96+$B$100)</f>
        <v>36.403827443033649</v>
      </c>
      <c r="C94" s="210">
        <f t="shared" ref="C94:Y94" si="72">MIN(100,C96+$B$100)</f>
        <v>36.403827443033649</v>
      </c>
      <c r="D94" s="210">
        <f t="shared" si="72"/>
        <v>36.403827443033649</v>
      </c>
      <c r="E94" s="210">
        <f t="shared" si="72"/>
        <v>46.403827443033649</v>
      </c>
      <c r="F94" s="210">
        <f t="shared" si="72"/>
        <v>51.403827443033649</v>
      </c>
      <c r="G94" s="210">
        <f t="shared" si="72"/>
        <v>56.403827443033649</v>
      </c>
      <c r="H94" s="210">
        <f t="shared" si="72"/>
        <v>61.403827443033649</v>
      </c>
      <c r="I94" s="210">
        <f t="shared" si="72"/>
        <v>76.403827443033649</v>
      </c>
      <c r="J94" s="210">
        <f t="shared" si="72"/>
        <v>76.403827443033649</v>
      </c>
      <c r="K94" s="210">
        <f t="shared" si="72"/>
        <v>76.403827443033649</v>
      </c>
      <c r="L94" s="210">
        <f t="shared" si="72"/>
        <v>76.403827443033649</v>
      </c>
      <c r="M94" s="210">
        <f t="shared" si="72"/>
        <v>76.403827443033649</v>
      </c>
      <c r="N94" s="210">
        <f t="shared" si="72"/>
        <v>96.403827443033649</v>
      </c>
      <c r="O94" s="210">
        <f t="shared" si="72"/>
        <v>100</v>
      </c>
      <c r="P94" s="210">
        <f t="shared" si="72"/>
        <v>100</v>
      </c>
      <c r="Q94" s="210">
        <f t="shared" si="72"/>
        <v>100</v>
      </c>
      <c r="R94" s="210">
        <f t="shared" si="72"/>
        <v>100</v>
      </c>
      <c r="S94" s="210">
        <f t="shared" si="72"/>
        <v>100</v>
      </c>
      <c r="T94" s="210">
        <f t="shared" si="72"/>
        <v>100</v>
      </c>
      <c r="U94" s="210">
        <f t="shared" si="72"/>
        <v>100</v>
      </c>
      <c r="V94" s="210">
        <f t="shared" si="72"/>
        <v>100</v>
      </c>
      <c r="W94" s="210">
        <f t="shared" si="72"/>
        <v>100</v>
      </c>
      <c r="X94" s="210">
        <f t="shared" si="72"/>
        <v>100</v>
      </c>
      <c r="Y94" s="55">
        <f t="shared" si="72"/>
        <v>36.403827443033649</v>
      </c>
      <c r="Z94" s="99"/>
      <c r="AA94" s="7"/>
      <c r="AB94" s="7"/>
      <c r="AC94" s="7"/>
      <c r="AD94" s="7"/>
      <c r="AE94" s="7"/>
      <c r="AF94" s="7"/>
      <c r="AG94" s="7"/>
      <c r="AH94" s="7"/>
      <c r="AI94" s="7"/>
      <c r="AJ94" s="7"/>
      <c r="AK94" s="7"/>
    </row>
    <row r="95" spans="1:46" x14ac:dyDescent="0.2">
      <c r="A95" s="489" t="s">
        <v>219</v>
      </c>
      <c r="B95" s="490">
        <f>MIN(100,B96+$B$101)</f>
        <v>20.701913721516824</v>
      </c>
      <c r="C95" s="490">
        <f t="shared" ref="C95:Y95" si="73">MIN(100,C96+$B$101)</f>
        <v>20.701913721516824</v>
      </c>
      <c r="D95" s="490">
        <f t="shared" si="73"/>
        <v>20.701913721516824</v>
      </c>
      <c r="E95" s="490">
        <f t="shared" si="73"/>
        <v>30.701913721516824</v>
      </c>
      <c r="F95" s="490">
        <f t="shared" si="73"/>
        <v>35.701913721516824</v>
      </c>
      <c r="G95" s="490">
        <f t="shared" si="73"/>
        <v>40.701913721516824</v>
      </c>
      <c r="H95" s="490">
        <f t="shared" si="73"/>
        <v>45.701913721516824</v>
      </c>
      <c r="I95" s="490">
        <f t="shared" si="73"/>
        <v>60.701913721516824</v>
      </c>
      <c r="J95" s="490">
        <f t="shared" si="73"/>
        <v>60.701913721516824</v>
      </c>
      <c r="K95" s="490">
        <f t="shared" si="73"/>
        <v>60.701913721516824</v>
      </c>
      <c r="L95" s="490">
        <f t="shared" si="73"/>
        <v>60.701913721516824</v>
      </c>
      <c r="M95" s="490">
        <f t="shared" si="73"/>
        <v>60.701913721516824</v>
      </c>
      <c r="N95" s="490">
        <f t="shared" si="73"/>
        <v>80.701913721516831</v>
      </c>
      <c r="O95" s="490">
        <f t="shared" si="73"/>
        <v>90.701913721516831</v>
      </c>
      <c r="P95" s="490">
        <f t="shared" si="73"/>
        <v>95.701913721516831</v>
      </c>
      <c r="Q95" s="490">
        <f t="shared" si="73"/>
        <v>100</v>
      </c>
      <c r="R95" s="490">
        <f t="shared" si="73"/>
        <v>100</v>
      </c>
      <c r="S95" s="490">
        <f t="shared" si="73"/>
        <v>100</v>
      </c>
      <c r="T95" s="490">
        <f t="shared" si="73"/>
        <v>100</v>
      </c>
      <c r="U95" s="490">
        <f t="shared" si="73"/>
        <v>100</v>
      </c>
      <c r="V95" s="490">
        <f t="shared" si="73"/>
        <v>100</v>
      </c>
      <c r="W95" s="490">
        <f t="shared" si="73"/>
        <v>85.701913721516831</v>
      </c>
      <c r="X95" s="490">
        <f t="shared" si="73"/>
        <v>85.701913721516831</v>
      </c>
      <c r="Y95" s="492">
        <f t="shared" si="73"/>
        <v>20.701913721516824</v>
      </c>
    </row>
    <row r="96" spans="1:46" x14ac:dyDescent="0.2">
      <c r="A96" s="489" t="s">
        <v>220</v>
      </c>
      <c r="B96" s="583">
        <v>5</v>
      </c>
      <c r="C96" s="583">
        <v>5</v>
      </c>
      <c r="D96" s="583">
        <v>5</v>
      </c>
      <c r="E96" s="583">
        <v>15</v>
      </c>
      <c r="F96" s="583">
        <v>20</v>
      </c>
      <c r="G96" s="583">
        <v>25</v>
      </c>
      <c r="H96" s="583">
        <v>30</v>
      </c>
      <c r="I96" s="583">
        <v>45</v>
      </c>
      <c r="J96" s="583">
        <v>45</v>
      </c>
      <c r="K96" s="583">
        <v>45</v>
      </c>
      <c r="L96" s="583">
        <v>45</v>
      </c>
      <c r="M96" s="583">
        <v>45</v>
      </c>
      <c r="N96" s="583">
        <v>65</v>
      </c>
      <c r="O96" s="583">
        <v>75</v>
      </c>
      <c r="P96" s="583">
        <v>80</v>
      </c>
      <c r="Q96" s="583">
        <v>85</v>
      </c>
      <c r="R96" s="583">
        <v>85</v>
      </c>
      <c r="S96" s="583">
        <v>85</v>
      </c>
      <c r="T96" s="583">
        <v>100</v>
      </c>
      <c r="U96" s="583">
        <v>100</v>
      </c>
      <c r="V96" s="583">
        <v>100</v>
      </c>
      <c r="W96" s="583">
        <v>70</v>
      </c>
      <c r="X96" s="583">
        <v>70</v>
      </c>
      <c r="Y96" s="584">
        <v>5</v>
      </c>
    </row>
    <row r="97" spans="1:37" x14ac:dyDescent="0.2">
      <c r="A97" s="489" t="s">
        <v>221</v>
      </c>
      <c r="B97" s="490">
        <f t="shared" ref="B97:Y97" si="74">MIN(80,IF(B23="Deploy",80,MAX(0,B96-$B$101)))</f>
        <v>0</v>
      </c>
      <c r="C97" s="490">
        <f t="shared" si="74"/>
        <v>0</v>
      </c>
      <c r="D97" s="490">
        <f t="shared" si="74"/>
        <v>0</v>
      </c>
      <c r="E97" s="490">
        <f t="shared" si="74"/>
        <v>0</v>
      </c>
      <c r="F97" s="490">
        <f t="shared" si="74"/>
        <v>4.2980862784831739</v>
      </c>
      <c r="G97" s="490">
        <f t="shared" si="74"/>
        <v>9.2980862784831739</v>
      </c>
      <c r="H97" s="490">
        <f t="shared" si="74"/>
        <v>14.298086278483174</v>
      </c>
      <c r="I97" s="490">
        <f t="shared" si="74"/>
        <v>29.298086278483176</v>
      </c>
      <c r="J97" s="490">
        <f t="shared" si="74"/>
        <v>29.298086278483176</v>
      </c>
      <c r="K97" s="490">
        <f t="shared" si="74"/>
        <v>29.298086278483176</v>
      </c>
      <c r="L97" s="490">
        <f t="shared" si="74"/>
        <v>29.298086278483176</v>
      </c>
      <c r="M97" s="490">
        <f t="shared" si="74"/>
        <v>29.298086278483176</v>
      </c>
      <c r="N97" s="490">
        <f t="shared" si="74"/>
        <v>49.298086278483176</v>
      </c>
      <c r="O97" s="490">
        <f t="shared" si="74"/>
        <v>59.298086278483176</v>
      </c>
      <c r="P97" s="490">
        <f t="shared" si="74"/>
        <v>64.298086278483169</v>
      </c>
      <c r="Q97" s="490">
        <f t="shared" si="74"/>
        <v>69.298086278483169</v>
      </c>
      <c r="R97" s="490">
        <f t="shared" si="74"/>
        <v>69.298086278483169</v>
      </c>
      <c r="S97" s="490">
        <f t="shared" si="74"/>
        <v>69.298086278483169</v>
      </c>
      <c r="T97" s="490">
        <f t="shared" si="74"/>
        <v>80</v>
      </c>
      <c r="U97" s="490">
        <f t="shared" si="74"/>
        <v>80</v>
      </c>
      <c r="V97" s="490">
        <f t="shared" si="74"/>
        <v>80</v>
      </c>
      <c r="W97" s="490">
        <f t="shared" si="74"/>
        <v>54.298086278483176</v>
      </c>
      <c r="X97" s="490">
        <f t="shared" si="74"/>
        <v>54.298086278483176</v>
      </c>
      <c r="Y97" s="492">
        <f t="shared" si="74"/>
        <v>0</v>
      </c>
      <c r="AD97" s="99"/>
    </row>
    <row r="98" spans="1:37" ht="13.5" thickBot="1" x14ac:dyDescent="0.25">
      <c r="A98" s="496" t="s">
        <v>222</v>
      </c>
      <c r="B98" s="497">
        <f t="shared" ref="B98:Y98" si="75">MIN(60,IF(B24="Deploy",60,MAX(0,B96-$B$100)))</f>
        <v>0</v>
      </c>
      <c r="C98" s="497">
        <f t="shared" si="75"/>
        <v>0</v>
      </c>
      <c r="D98" s="497">
        <f t="shared" si="75"/>
        <v>0</v>
      </c>
      <c r="E98" s="497">
        <f t="shared" si="75"/>
        <v>0</v>
      </c>
      <c r="F98" s="497">
        <f t="shared" si="75"/>
        <v>0</v>
      </c>
      <c r="G98" s="497">
        <f t="shared" si="75"/>
        <v>0</v>
      </c>
      <c r="H98" s="497">
        <f t="shared" si="75"/>
        <v>0</v>
      </c>
      <c r="I98" s="497">
        <f t="shared" si="75"/>
        <v>13.596172556966348</v>
      </c>
      <c r="J98" s="497">
        <f t="shared" si="75"/>
        <v>13.596172556966348</v>
      </c>
      <c r="K98" s="497">
        <f t="shared" si="75"/>
        <v>13.596172556966348</v>
      </c>
      <c r="L98" s="497">
        <f t="shared" si="75"/>
        <v>13.596172556966348</v>
      </c>
      <c r="M98" s="497">
        <f t="shared" si="75"/>
        <v>13.596172556966348</v>
      </c>
      <c r="N98" s="497">
        <f t="shared" si="75"/>
        <v>33.596172556966351</v>
      </c>
      <c r="O98" s="497">
        <f t="shared" si="75"/>
        <v>43.596172556966351</v>
      </c>
      <c r="P98" s="497">
        <f t="shared" si="75"/>
        <v>48.596172556966351</v>
      </c>
      <c r="Q98" s="497">
        <f t="shared" si="75"/>
        <v>53.596172556966351</v>
      </c>
      <c r="R98" s="497">
        <f t="shared" si="75"/>
        <v>53.596172556966351</v>
      </c>
      <c r="S98" s="497">
        <f t="shared" si="75"/>
        <v>53.596172556966351</v>
      </c>
      <c r="T98" s="497">
        <f t="shared" si="75"/>
        <v>60</v>
      </c>
      <c r="U98" s="497">
        <f t="shared" si="75"/>
        <v>60</v>
      </c>
      <c r="V98" s="497">
        <f t="shared" si="75"/>
        <v>60</v>
      </c>
      <c r="W98" s="497">
        <f t="shared" si="75"/>
        <v>38.596172556966351</v>
      </c>
      <c r="X98" s="497">
        <f t="shared" si="75"/>
        <v>38.596172556966351</v>
      </c>
      <c r="Y98" s="499">
        <f t="shared" si="75"/>
        <v>0</v>
      </c>
      <c r="AB98" s="99"/>
      <c r="AC98" s="99"/>
      <c r="AD98" s="99"/>
    </row>
    <row r="99" spans="1:37" ht="13.5" thickBot="1" x14ac:dyDescent="0.25">
      <c r="A99" s="144" t="s">
        <v>223</v>
      </c>
      <c r="B99" s="162">
        <v>58</v>
      </c>
      <c r="C99" s="162">
        <v>52</v>
      </c>
      <c r="D99" s="162">
        <v>48</v>
      </c>
      <c r="E99" s="162">
        <v>48</v>
      </c>
      <c r="F99" s="162">
        <v>48</v>
      </c>
      <c r="G99" s="162">
        <v>58</v>
      </c>
      <c r="H99" s="162">
        <v>58</v>
      </c>
      <c r="I99" s="162">
        <v>61</v>
      </c>
      <c r="J99" s="162">
        <v>62</v>
      </c>
      <c r="K99" s="162">
        <v>67</v>
      </c>
      <c r="L99" s="162">
        <v>69</v>
      </c>
      <c r="M99" s="162">
        <v>70</v>
      </c>
      <c r="N99" s="162">
        <v>81</v>
      </c>
      <c r="O99" s="162">
        <v>81</v>
      </c>
      <c r="P99" s="162">
        <v>100</v>
      </c>
      <c r="Q99" s="162">
        <v>100</v>
      </c>
      <c r="R99" s="162">
        <v>100</v>
      </c>
      <c r="S99" s="162">
        <v>100</v>
      </c>
      <c r="T99" s="162">
        <v>100</v>
      </c>
      <c r="U99" s="162">
        <v>100</v>
      </c>
      <c r="V99" s="162">
        <v>100</v>
      </c>
      <c r="W99" s="162">
        <v>70</v>
      </c>
      <c r="X99" s="162">
        <v>70</v>
      </c>
      <c r="Y99" s="163">
        <v>37</v>
      </c>
      <c r="AB99" s="99"/>
      <c r="AC99" s="99"/>
    </row>
    <row r="100" spans="1:37" x14ac:dyDescent="0.2">
      <c r="A100" s="164" t="s">
        <v>224</v>
      </c>
      <c r="B100" s="165">
        <f t="array" ref="B100">SQRT(SUM(POWER(AVERAGE(B96:X96)-(B96:X96),2))/COUNT(B96:X96))*1</f>
        <v>31.403827443033652</v>
      </c>
    </row>
    <row r="101" spans="1:37" ht="13.5" thickBot="1" x14ac:dyDescent="0.25">
      <c r="A101" s="585" t="s">
        <v>225</v>
      </c>
      <c r="B101" s="586">
        <f>B100/2</f>
        <v>15.701913721516826</v>
      </c>
      <c r="AE101" s="99"/>
      <c r="AF101" s="99"/>
      <c r="AG101" s="99"/>
      <c r="AH101" s="99"/>
      <c r="AI101" s="99"/>
      <c r="AJ101" s="99"/>
      <c r="AK101" s="99"/>
    </row>
    <row r="102" spans="1:37" s="99" customFormat="1" ht="13.5" thickBot="1" x14ac:dyDescent="0.25">
      <c r="A102" s="7"/>
      <c r="B102" s="7"/>
      <c r="C102" s="7"/>
      <c r="D102" s="7"/>
      <c r="E102" s="125"/>
      <c r="F102" s="125"/>
      <c r="G102" s="125"/>
      <c r="H102" s="125"/>
      <c r="Z102" s="85"/>
      <c r="AB102" s="7"/>
      <c r="AC102" s="7"/>
      <c r="AD102" s="7"/>
      <c r="AF102" s="7"/>
      <c r="AG102" s="7"/>
      <c r="AH102" s="7"/>
      <c r="AI102" s="7"/>
      <c r="AJ102" s="7"/>
      <c r="AK102" s="7"/>
    </row>
    <row r="103" spans="1:37" ht="13.5" thickBot="1" x14ac:dyDescent="0.25">
      <c r="A103" s="634" t="s">
        <v>226</v>
      </c>
      <c r="B103" s="635"/>
      <c r="E103" s="125"/>
      <c r="F103" s="125"/>
      <c r="G103" s="125"/>
      <c r="H103" s="125"/>
      <c r="I103" s="99"/>
      <c r="J103" s="99"/>
      <c r="K103" s="99"/>
      <c r="L103" s="99"/>
      <c r="M103" s="99"/>
      <c r="N103" s="99"/>
      <c r="O103" s="99"/>
      <c r="P103" s="99"/>
      <c r="Q103" s="99"/>
      <c r="R103" s="99"/>
      <c r="S103" s="99"/>
      <c r="T103" s="99"/>
      <c r="U103" s="99"/>
      <c r="V103" s="99"/>
      <c r="W103" s="99"/>
      <c r="X103" s="99"/>
      <c r="Y103" s="99"/>
      <c r="AA103" s="99"/>
    </row>
    <row r="104" spans="1:37" ht="13.5" thickBot="1" x14ac:dyDescent="0.25">
      <c r="A104" s="636" t="s">
        <v>227</v>
      </c>
      <c r="B104" s="637"/>
      <c r="C104" s="99"/>
      <c r="D104" s="99"/>
      <c r="E104" s="24"/>
      <c r="F104" s="20"/>
      <c r="G104" s="20"/>
      <c r="H104" s="20"/>
    </row>
    <row r="105" spans="1:37" ht="13.5" thickTop="1" x14ac:dyDescent="0.2">
      <c r="A105" s="21" t="s">
        <v>228</v>
      </c>
      <c r="B105" s="22">
        <v>11</v>
      </c>
      <c r="C105" s="99"/>
      <c r="D105" s="99"/>
      <c r="E105" s="25"/>
      <c r="F105" s="20"/>
      <c r="G105" s="20"/>
      <c r="H105" s="20"/>
      <c r="J105" s="99"/>
    </row>
    <row r="106" spans="1:37" x14ac:dyDescent="0.2">
      <c r="A106" s="502" t="s">
        <v>229</v>
      </c>
      <c r="B106" s="504">
        <v>5</v>
      </c>
      <c r="E106" s="23"/>
      <c r="F106" s="20"/>
      <c r="G106" s="20"/>
      <c r="H106" s="20"/>
    </row>
    <row r="107" spans="1:37" x14ac:dyDescent="0.2">
      <c r="A107" s="21" t="s">
        <v>230</v>
      </c>
      <c r="B107" s="22">
        <v>9</v>
      </c>
      <c r="E107" s="23"/>
      <c r="F107" s="20"/>
      <c r="G107" s="20"/>
      <c r="H107" s="20"/>
    </row>
    <row r="108" spans="1:37" x14ac:dyDescent="0.2">
      <c r="A108" s="502" t="s">
        <v>231</v>
      </c>
      <c r="B108" s="504">
        <v>5</v>
      </c>
      <c r="F108" s="189"/>
      <c r="H108" s="20"/>
    </row>
    <row r="109" spans="1:37" x14ac:dyDescent="0.2">
      <c r="A109" s="502" t="s">
        <v>232</v>
      </c>
      <c r="B109" s="504" t="s">
        <v>200</v>
      </c>
      <c r="F109" s="189"/>
      <c r="H109" s="20"/>
    </row>
    <row r="110" spans="1:37" x14ac:dyDescent="0.2">
      <c r="A110" s="502" t="s">
        <v>290</v>
      </c>
      <c r="B110" s="504">
        <v>5</v>
      </c>
      <c r="F110" s="189"/>
      <c r="H110" s="20"/>
      <c r="AD110" s="99"/>
    </row>
    <row r="111" spans="1:37" x14ac:dyDescent="0.2">
      <c r="A111" s="502" t="s">
        <v>291</v>
      </c>
      <c r="B111" s="504">
        <v>9</v>
      </c>
      <c r="F111" s="189"/>
      <c r="H111" s="20"/>
      <c r="AB111" s="99"/>
      <c r="AC111" s="99"/>
      <c r="AF111" s="99"/>
      <c r="AG111" s="99"/>
      <c r="AH111" s="99"/>
      <c r="AI111" s="99"/>
      <c r="AJ111" s="99"/>
      <c r="AK111" s="99"/>
    </row>
    <row r="112" spans="1:37" s="99" customFormat="1" x14ac:dyDescent="0.2">
      <c r="A112" s="502" t="s">
        <v>292</v>
      </c>
      <c r="B112" s="503">
        <v>14</v>
      </c>
      <c r="C112" s="7"/>
      <c r="D112" s="7"/>
      <c r="E112" s="7"/>
      <c r="F112" s="189"/>
      <c r="G112" s="7"/>
      <c r="H112" s="20"/>
      <c r="I112" s="7"/>
      <c r="J112" s="7"/>
      <c r="K112" s="7"/>
      <c r="L112" s="7"/>
      <c r="M112" s="7"/>
      <c r="N112" s="7"/>
      <c r="O112" s="7"/>
      <c r="P112" s="7"/>
      <c r="Q112" s="7"/>
      <c r="R112" s="7"/>
      <c r="S112" s="7"/>
      <c r="T112" s="7"/>
      <c r="U112" s="7"/>
      <c r="V112" s="7"/>
      <c r="W112" s="7"/>
      <c r="X112" s="7"/>
      <c r="Y112" s="7"/>
      <c r="Z112" s="85"/>
      <c r="AA112" s="7"/>
      <c r="AB112" s="7"/>
      <c r="AC112" s="7"/>
      <c r="AD112" s="7"/>
      <c r="AE112" s="7"/>
    </row>
    <row r="113" spans="1:37" s="99" customFormat="1" x14ac:dyDescent="0.2">
      <c r="A113" s="502" t="s">
        <v>236</v>
      </c>
      <c r="B113" s="505" t="s">
        <v>200</v>
      </c>
      <c r="C113" s="7"/>
      <c r="D113" s="7"/>
      <c r="E113" s="7"/>
      <c r="F113" s="189"/>
      <c r="G113" s="7"/>
      <c r="H113" s="20"/>
      <c r="I113" s="7"/>
      <c r="J113" s="7"/>
      <c r="K113" s="7"/>
      <c r="L113" s="7"/>
      <c r="M113" s="7"/>
      <c r="N113" s="7"/>
      <c r="O113" s="7"/>
      <c r="P113" s="7"/>
      <c r="Q113" s="7"/>
      <c r="R113" s="7"/>
      <c r="S113" s="7"/>
      <c r="T113" s="7"/>
      <c r="U113" s="7"/>
      <c r="V113" s="7"/>
      <c r="W113" s="7"/>
      <c r="X113" s="7"/>
      <c r="Y113" s="7"/>
      <c r="Z113" s="85"/>
      <c r="AA113" s="7"/>
      <c r="AB113" s="7"/>
      <c r="AC113" s="7"/>
      <c r="AD113" s="7"/>
      <c r="AE113" s="7"/>
      <c r="AF113" s="7"/>
      <c r="AG113" s="7"/>
      <c r="AH113" s="7"/>
      <c r="AI113" s="7"/>
      <c r="AJ113" s="7"/>
      <c r="AK113" s="7"/>
    </row>
    <row r="114" spans="1:37" x14ac:dyDescent="0.2">
      <c r="A114" s="502" t="s">
        <v>293</v>
      </c>
      <c r="B114" s="506">
        <v>14</v>
      </c>
      <c r="F114" s="189"/>
      <c r="H114" s="20"/>
      <c r="AE114" s="99"/>
    </row>
    <row r="115" spans="1:37" x14ac:dyDescent="0.2">
      <c r="A115" s="502" t="s">
        <v>201</v>
      </c>
      <c r="B115" s="506">
        <v>14</v>
      </c>
      <c r="F115" s="189"/>
      <c r="H115" s="20"/>
      <c r="AA115" s="99"/>
      <c r="AE115" s="99"/>
    </row>
    <row r="116" spans="1:37" ht="13.5" thickBot="1" x14ac:dyDescent="0.25">
      <c r="A116" s="507" t="s">
        <v>239</v>
      </c>
      <c r="B116" s="508">
        <v>8</v>
      </c>
      <c r="F116" s="189"/>
      <c r="AA116" s="99"/>
    </row>
    <row r="117" spans="1:37" ht="13.5" thickBot="1" x14ac:dyDescent="0.25"/>
    <row r="118" spans="1:37" ht="13.5" thickBot="1" x14ac:dyDescent="0.25">
      <c r="A118" s="634" t="s">
        <v>240</v>
      </c>
      <c r="B118" s="635"/>
    </row>
    <row r="119" spans="1:37" x14ac:dyDescent="0.2">
      <c r="A119" s="47" t="s">
        <v>241</v>
      </c>
      <c r="B119" s="48" t="s">
        <v>242</v>
      </c>
      <c r="C119" s="48" t="s">
        <v>242</v>
      </c>
      <c r="D119" s="48" t="s">
        <v>242</v>
      </c>
      <c r="E119" s="48" t="s">
        <v>242</v>
      </c>
      <c r="F119" s="48"/>
      <c r="G119" s="48" t="s">
        <v>242</v>
      </c>
      <c r="H119" s="48" t="s">
        <v>242</v>
      </c>
      <c r="I119" s="48"/>
      <c r="J119" s="48" t="s">
        <v>242</v>
      </c>
      <c r="K119" s="48" t="s">
        <v>242</v>
      </c>
      <c r="L119" s="48"/>
      <c r="M119" s="48" t="s">
        <v>242</v>
      </c>
      <c r="N119" s="48" t="s">
        <v>242</v>
      </c>
      <c r="O119" s="48"/>
      <c r="P119" s="48" t="s">
        <v>242</v>
      </c>
      <c r="Q119" s="48" t="s">
        <v>242</v>
      </c>
      <c r="R119" s="48" t="s">
        <v>242</v>
      </c>
      <c r="S119" s="48"/>
      <c r="T119" s="48"/>
      <c r="U119" s="48"/>
      <c r="V119" s="48"/>
      <c r="W119" s="48"/>
      <c r="X119" s="48" t="s">
        <v>242</v>
      </c>
      <c r="Y119" s="48" t="s">
        <v>242</v>
      </c>
    </row>
    <row r="120" spans="1:37" ht="13.5" thickBot="1" x14ac:dyDescent="0.25">
      <c r="A120" s="509" t="s">
        <v>243</v>
      </c>
      <c r="B120" s="510"/>
      <c r="C120" s="510"/>
      <c r="D120" s="510"/>
      <c r="E120" s="510"/>
      <c r="F120" s="510"/>
      <c r="G120" s="510"/>
      <c r="H120" s="510"/>
      <c r="I120" s="510"/>
      <c r="J120" s="510"/>
      <c r="K120" s="510"/>
      <c r="L120" s="510"/>
      <c r="M120" s="510"/>
      <c r="N120" s="510"/>
      <c r="O120" s="510"/>
      <c r="P120" s="510"/>
      <c r="Q120" s="510"/>
      <c r="R120" s="510"/>
      <c r="S120" s="510"/>
      <c r="T120" s="510" t="s">
        <v>242</v>
      </c>
      <c r="U120" s="510" t="s">
        <v>242</v>
      </c>
      <c r="V120" s="510" t="s">
        <v>242</v>
      </c>
      <c r="W120" s="510"/>
      <c r="X120" s="510"/>
      <c r="Y120" s="510"/>
    </row>
    <row r="121" spans="1:37" ht="13.5" thickBot="1" x14ac:dyDescent="0.25"/>
    <row r="122" spans="1:37" ht="13.5" thickBot="1" x14ac:dyDescent="0.25">
      <c r="A122" s="634" t="s">
        <v>244</v>
      </c>
      <c r="B122" s="635"/>
    </row>
    <row r="123" spans="1:37" ht="13.5" thickBot="1" x14ac:dyDescent="0.25">
      <c r="A123" s="190" t="s">
        <v>184</v>
      </c>
      <c r="B123" s="191" t="s">
        <v>105</v>
      </c>
    </row>
    <row r="124" spans="1:37" x14ac:dyDescent="0.2">
      <c r="A124" s="181" t="s">
        <v>185</v>
      </c>
      <c r="B124" s="38">
        <v>14</v>
      </c>
    </row>
    <row r="125" spans="1:37" x14ac:dyDescent="0.2">
      <c r="A125" s="567" t="s">
        <v>186</v>
      </c>
      <c r="B125" s="465">
        <v>10</v>
      </c>
    </row>
    <row r="126" spans="1:37" x14ac:dyDescent="0.2">
      <c r="A126" s="587" t="s">
        <v>187</v>
      </c>
      <c r="B126" s="465">
        <v>8</v>
      </c>
    </row>
    <row r="127" spans="1:37" x14ac:dyDescent="0.2">
      <c r="A127" s="587" t="s">
        <v>188</v>
      </c>
      <c r="B127" s="465">
        <v>4</v>
      </c>
    </row>
    <row r="128" spans="1:37" x14ac:dyDescent="0.2">
      <c r="A128" s="567" t="s">
        <v>189</v>
      </c>
      <c r="B128" s="465">
        <v>11</v>
      </c>
    </row>
    <row r="129" spans="1:10" x14ac:dyDescent="0.2">
      <c r="A129" s="567" t="s">
        <v>190</v>
      </c>
      <c r="B129" s="465">
        <v>7</v>
      </c>
    </row>
    <row r="130" spans="1:10" x14ac:dyDescent="0.2">
      <c r="A130" s="587" t="s">
        <v>191</v>
      </c>
      <c r="B130" s="465">
        <v>13</v>
      </c>
    </row>
    <row r="131" spans="1:10" x14ac:dyDescent="0.2">
      <c r="A131" s="587" t="s">
        <v>192</v>
      </c>
      <c r="B131" s="465">
        <v>9</v>
      </c>
    </row>
    <row r="132" spans="1:10" x14ac:dyDescent="0.2">
      <c r="A132" s="567" t="s">
        <v>193</v>
      </c>
      <c r="B132" s="465">
        <v>11</v>
      </c>
    </row>
    <row r="133" spans="1:10" x14ac:dyDescent="0.2">
      <c r="A133" s="567" t="s">
        <v>194</v>
      </c>
      <c r="B133" s="465">
        <v>7</v>
      </c>
    </row>
    <row r="134" spans="1:10" x14ac:dyDescent="0.2">
      <c r="A134" s="587" t="s">
        <v>195</v>
      </c>
      <c r="B134" s="465">
        <v>12</v>
      </c>
    </row>
    <row r="135" spans="1:10" ht="13.5" thickBot="1" x14ac:dyDescent="0.25">
      <c r="A135" s="588" t="s">
        <v>196</v>
      </c>
      <c r="B135" s="476">
        <v>8</v>
      </c>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5</v>
      </c>
      <c r="C139" s="515">
        <v>5</v>
      </c>
      <c r="D139" s="516">
        <v>4</v>
      </c>
      <c r="E139" s="516">
        <v>4</v>
      </c>
      <c r="F139" s="517">
        <v>3</v>
      </c>
      <c r="G139" s="518">
        <v>0</v>
      </c>
    </row>
    <row r="140" spans="1:10" x14ac:dyDescent="0.2">
      <c r="A140" s="514" t="s">
        <v>252</v>
      </c>
      <c r="B140" s="515">
        <f>$B$139</f>
        <v>5</v>
      </c>
      <c r="C140" s="515">
        <v>4</v>
      </c>
      <c r="D140" s="516">
        <v>3</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76">$B$139</f>
        <v>5</v>
      </c>
      <c r="C142" s="515">
        <f>ROUND(T39,0)</f>
        <v>1</v>
      </c>
      <c r="D142" s="516"/>
      <c r="E142" s="516"/>
      <c r="F142" s="517"/>
      <c r="G142" s="518">
        <v>0</v>
      </c>
    </row>
    <row r="143" spans="1:10" x14ac:dyDescent="0.2">
      <c r="A143" s="514" t="s">
        <v>260</v>
      </c>
      <c r="B143" s="515">
        <f t="shared" si="76"/>
        <v>5</v>
      </c>
      <c r="C143" s="515">
        <f t="shared" ref="C143:C148" si="77">ROUND(T40,0)</f>
        <v>3</v>
      </c>
      <c r="D143" s="516">
        <v>2</v>
      </c>
      <c r="E143" s="516"/>
      <c r="F143" s="517">
        <v>1</v>
      </c>
      <c r="G143" s="518">
        <v>0</v>
      </c>
    </row>
    <row r="144" spans="1:10" x14ac:dyDescent="0.2">
      <c r="A144" s="514" t="s">
        <v>261</v>
      </c>
      <c r="B144" s="515">
        <f t="shared" si="76"/>
        <v>5</v>
      </c>
      <c r="C144" s="515">
        <f t="shared" si="77"/>
        <v>3</v>
      </c>
      <c r="D144" s="516">
        <v>2</v>
      </c>
      <c r="E144" s="516"/>
      <c r="F144" s="517">
        <v>1</v>
      </c>
      <c r="G144" s="518">
        <v>0</v>
      </c>
    </row>
    <row r="145" spans="1:7" x14ac:dyDescent="0.2">
      <c r="A145" s="531" t="s">
        <v>262</v>
      </c>
      <c r="B145" s="515">
        <f t="shared" si="76"/>
        <v>5</v>
      </c>
      <c r="C145" s="515">
        <f t="shared" si="77"/>
        <v>3</v>
      </c>
      <c r="D145" s="516">
        <v>2</v>
      </c>
      <c r="E145" s="516"/>
      <c r="F145" s="517">
        <v>1</v>
      </c>
      <c r="G145" s="518">
        <v>0</v>
      </c>
    </row>
    <row r="146" spans="1:7" x14ac:dyDescent="0.2">
      <c r="A146" s="514" t="s">
        <v>263</v>
      </c>
      <c r="B146" s="515">
        <f t="shared" si="76"/>
        <v>5</v>
      </c>
      <c r="C146" s="515">
        <f t="shared" si="77"/>
        <v>3</v>
      </c>
      <c r="D146" s="516">
        <v>2</v>
      </c>
      <c r="E146" s="516">
        <v>2</v>
      </c>
      <c r="F146" s="517">
        <v>1</v>
      </c>
      <c r="G146" s="518">
        <v>0</v>
      </c>
    </row>
    <row r="147" spans="1:7" x14ac:dyDescent="0.2">
      <c r="A147" s="514" t="s">
        <v>264</v>
      </c>
      <c r="B147" s="515">
        <f t="shared" si="76"/>
        <v>5</v>
      </c>
      <c r="C147" s="515">
        <f t="shared" si="77"/>
        <v>4</v>
      </c>
      <c r="D147" s="516">
        <v>3</v>
      </c>
      <c r="E147" s="516">
        <v>2</v>
      </c>
      <c r="F147" s="517">
        <v>1</v>
      </c>
      <c r="G147" s="518">
        <v>0</v>
      </c>
    </row>
    <row r="148" spans="1:7" x14ac:dyDescent="0.2">
      <c r="A148" s="514" t="s">
        <v>265</v>
      </c>
      <c r="B148" s="515">
        <f t="shared" si="76"/>
        <v>5</v>
      </c>
      <c r="C148" s="515">
        <f t="shared" si="77"/>
        <v>3</v>
      </c>
      <c r="D148" s="516">
        <v>2</v>
      </c>
      <c r="E148" s="516">
        <v>2</v>
      </c>
      <c r="F148" s="517">
        <v>1</v>
      </c>
      <c r="G148" s="518">
        <v>0</v>
      </c>
    </row>
    <row r="149" spans="1:7" x14ac:dyDescent="0.2">
      <c r="A149" s="514" t="s">
        <v>266</v>
      </c>
      <c r="B149" s="515">
        <f t="shared" si="76"/>
        <v>5</v>
      </c>
      <c r="C149" s="515">
        <f t="shared" ref="C149:G149" si="78">C140</f>
        <v>4</v>
      </c>
      <c r="D149" s="516">
        <f t="shared" si="78"/>
        <v>3</v>
      </c>
      <c r="E149" s="516">
        <f t="shared" si="78"/>
        <v>3</v>
      </c>
      <c r="F149" s="517">
        <f t="shared" si="78"/>
        <v>2</v>
      </c>
      <c r="G149" s="518">
        <f t="shared" si="78"/>
        <v>0</v>
      </c>
    </row>
    <row r="150" spans="1:7" x14ac:dyDescent="0.2">
      <c r="A150" s="519" t="s">
        <v>267</v>
      </c>
      <c r="B150" s="515">
        <f t="shared" si="76"/>
        <v>5</v>
      </c>
      <c r="C150" s="515">
        <f t="shared" ref="C150:G150" si="79">C140</f>
        <v>4</v>
      </c>
      <c r="D150" s="516">
        <f t="shared" si="79"/>
        <v>3</v>
      </c>
      <c r="E150" s="516">
        <f t="shared" si="79"/>
        <v>3</v>
      </c>
      <c r="F150" s="517">
        <f t="shared" si="79"/>
        <v>2</v>
      </c>
      <c r="G150" s="518">
        <f t="shared" si="79"/>
        <v>0</v>
      </c>
    </row>
    <row r="151" spans="1:7" x14ac:dyDescent="0.2">
      <c r="A151" s="513" t="s">
        <v>179</v>
      </c>
      <c r="B151" s="195"/>
      <c r="C151" s="196"/>
      <c r="D151" s="196"/>
      <c r="E151" s="196"/>
      <c r="F151" s="196"/>
      <c r="G151" s="197"/>
    </row>
    <row r="152" spans="1:7" x14ac:dyDescent="0.2">
      <c r="A152" s="514" t="s">
        <v>180</v>
      </c>
      <c r="B152" s="515">
        <f>T49</f>
        <v>20</v>
      </c>
      <c r="C152" s="515"/>
      <c r="D152" s="516">
        <f>B152-1</f>
        <v>19</v>
      </c>
      <c r="E152" s="516">
        <f>1+F152</f>
        <v>8</v>
      </c>
      <c r="F152" s="517">
        <f>MAX(D49,1)</f>
        <v>7</v>
      </c>
      <c r="G152" s="198">
        <v>0</v>
      </c>
    </row>
    <row r="153" spans="1:7" x14ac:dyDescent="0.2">
      <c r="A153" s="514" t="s">
        <v>148</v>
      </c>
      <c r="B153" s="515">
        <f>B152</f>
        <v>20</v>
      </c>
      <c r="C153" s="515">
        <f>T50</f>
        <v>17</v>
      </c>
      <c r="D153" s="520">
        <f>C153-1</f>
        <v>16</v>
      </c>
      <c r="E153" s="516">
        <f t="shared" ref="E153:E167" si="80">1+F153</f>
        <v>7</v>
      </c>
      <c r="F153" s="517">
        <f>MAX(D50,1)</f>
        <v>6</v>
      </c>
      <c r="G153" s="198">
        <v>0</v>
      </c>
    </row>
    <row r="154" spans="1:7" x14ac:dyDescent="0.2">
      <c r="A154" s="514" t="s">
        <v>182</v>
      </c>
      <c r="B154" s="515">
        <f>T51</f>
        <v>22</v>
      </c>
      <c r="C154" s="515"/>
      <c r="D154" s="516">
        <f>B154-1</f>
        <v>21</v>
      </c>
      <c r="E154" s="516">
        <f t="shared" si="80"/>
        <v>8</v>
      </c>
      <c r="F154" s="517">
        <f>MAX(D51,1)</f>
        <v>7</v>
      </c>
      <c r="G154" s="198">
        <v>0</v>
      </c>
    </row>
    <row r="155" spans="1:7" x14ac:dyDescent="0.2">
      <c r="A155" s="514" t="s">
        <v>152</v>
      </c>
      <c r="B155" s="515">
        <f>B154</f>
        <v>22</v>
      </c>
      <c r="C155" s="515">
        <f>T52</f>
        <v>17</v>
      </c>
      <c r="D155" s="520">
        <f>C155-1</f>
        <v>16</v>
      </c>
      <c r="E155" s="516">
        <f t="shared" si="80"/>
        <v>7</v>
      </c>
      <c r="F155" s="517">
        <f>MAX(D52,1)</f>
        <v>6</v>
      </c>
      <c r="G155" s="198">
        <v>0</v>
      </c>
    </row>
    <row r="156" spans="1:7" x14ac:dyDescent="0.2">
      <c r="A156" s="514" t="s">
        <v>253</v>
      </c>
      <c r="B156" s="521">
        <f>T54</f>
        <v>14</v>
      </c>
      <c r="C156" s="515"/>
      <c r="D156" s="516">
        <f>B156-1</f>
        <v>13</v>
      </c>
      <c r="E156" s="516">
        <f t="shared" si="80"/>
        <v>5</v>
      </c>
      <c r="F156" s="517">
        <f t="shared" ref="F156:F167" si="81">MAX(D54,1)</f>
        <v>4</v>
      </c>
      <c r="G156" s="198">
        <v>0</v>
      </c>
    </row>
    <row r="157" spans="1:7" x14ac:dyDescent="0.2">
      <c r="A157" s="514" t="s">
        <v>186</v>
      </c>
      <c r="B157" s="521">
        <f>B156</f>
        <v>14</v>
      </c>
      <c r="C157" s="515">
        <f>T55</f>
        <v>10</v>
      </c>
      <c r="D157" s="520">
        <f>C157-1</f>
        <v>9</v>
      </c>
      <c r="E157" s="516">
        <f t="shared" si="80"/>
        <v>4</v>
      </c>
      <c r="F157" s="517">
        <f t="shared" si="81"/>
        <v>3</v>
      </c>
      <c r="G157" s="198">
        <v>0</v>
      </c>
    </row>
    <row r="158" spans="1:7" x14ac:dyDescent="0.2">
      <c r="A158" s="514" t="s">
        <v>187</v>
      </c>
      <c r="B158" s="521">
        <f>T56</f>
        <v>8</v>
      </c>
      <c r="C158" s="515"/>
      <c r="D158" s="516">
        <f>B158-1</f>
        <v>7</v>
      </c>
      <c r="E158" s="516">
        <f t="shared" si="80"/>
        <v>2</v>
      </c>
      <c r="F158" s="517">
        <f t="shared" si="81"/>
        <v>1</v>
      </c>
      <c r="G158" s="198">
        <v>0</v>
      </c>
    </row>
    <row r="159" spans="1:7" x14ac:dyDescent="0.2">
      <c r="A159" s="514" t="s">
        <v>188</v>
      </c>
      <c r="B159" s="521">
        <f>B158</f>
        <v>8</v>
      </c>
      <c r="C159" s="515">
        <f>T57</f>
        <v>4</v>
      </c>
      <c r="D159" s="520">
        <f>C159-1</f>
        <v>3</v>
      </c>
      <c r="E159" s="516">
        <f t="shared" si="80"/>
        <v>2</v>
      </c>
      <c r="F159" s="517">
        <f t="shared" si="81"/>
        <v>1</v>
      </c>
      <c r="G159" s="198">
        <v>0</v>
      </c>
    </row>
    <row r="160" spans="1:7" x14ac:dyDescent="0.2">
      <c r="A160" s="514" t="s">
        <v>189</v>
      </c>
      <c r="B160" s="521">
        <f>T58</f>
        <v>11</v>
      </c>
      <c r="C160" s="515"/>
      <c r="D160" s="516">
        <f>B160-1</f>
        <v>10</v>
      </c>
      <c r="E160" s="516">
        <f t="shared" si="80"/>
        <v>2</v>
      </c>
      <c r="F160" s="517">
        <f t="shared" si="81"/>
        <v>1</v>
      </c>
      <c r="G160" s="198">
        <v>0</v>
      </c>
    </row>
    <row r="161" spans="1:7" x14ac:dyDescent="0.2">
      <c r="A161" s="514" t="s">
        <v>190</v>
      </c>
      <c r="B161" s="521">
        <f>B160</f>
        <v>11</v>
      </c>
      <c r="C161" s="515">
        <f>T59</f>
        <v>7</v>
      </c>
      <c r="D161" s="520">
        <f>C161-1</f>
        <v>6</v>
      </c>
      <c r="E161" s="516">
        <f t="shared" si="80"/>
        <v>2</v>
      </c>
      <c r="F161" s="517">
        <f t="shared" si="81"/>
        <v>1</v>
      </c>
      <c r="G161" s="198">
        <v>0</v>
      </c>
    </row>
    <row r="162" spans="1:7" x14ac:dyDescent="0.2">
      <c r="A162" s="514" t="s">
        <v>191</v>
      </c>
      <c r="B162" s="521">
        <f>T60</f>
        <v>13</v>
      </c>
      <c r="C162" s="515"/>
      <c r="D162" s="516">
        <f>B162-1</f>
        <v>12</v>
      </c>
      <c r="E162" s="516">
        <f t="shared" si="80"/>
        <v>5</v>
      </c>
      <c r="F162" s="517">
        <f t="shared" si="81"/>
        <v>4</v>
      </c>
      <c r="G162" s="198">
        <v>0</v>
      </c>
    </row>
    <row r="163" spans="1:7" x14ac:dyDescent="0.2">
      <c r="A163" s="514" t="s">
        <v>192</v>
      </c>
      <c r="B163" s="521">
        <f>B162</f>
        <v>13</v>
      </c>
      <c r="C163" s="515">
        <f>T61</f>
        <v>9</v>
      </c>
      <c r="D163" s="520">
        <f>C163-1</f>
        <v>8</v>
      </c>
      <c r="E163" s="516">
        <f t="shared" si="80"/>
        <v>4</v>
      </c>
      <c r="F163" s="517">
        <f t="shared" si="81"/>
        <v>3</v>
      </c>
      <c r="G163" s="198">
        <v>0</v>
      </c>
    </row>
    <row r="164" spans="1:7" x14ac:dyDescent="0.2">
      <c r="A164" s="514" t="s">
        <v>193</v>
      </c>
      <c r="B164" s="521">
        <f>T62</f>
        <v>11</v>
      </c>
      <c r="C164" s="515"/>
      <c r="D164" s="516">
        <f>B164-1</f>
        <v>10</v>
      </c>
      <c r="E164" s="516">
        <f t="shared" si="80"/>
        <v>5</v>
      </c>
      <c r="F164" s="517">
        <f t="shared" si="81"/>
        <v>4</v>
      </c>
      <c r="G164" s="198">
        <v>0</v>
      </c>
    </row>
    <row r="165" spans="1:7" x14ac:dyDescent="0.2">
      <c r="A165" s="514" t="s">
        <v>194</v>
      </c>
      <c r="B165" s="521">
        <f>B164</f>
        <v>11</v>
      </c>
      <c r="C165" s="515">
        <f>T63</f>
        <v>7</v>
      </c>
      <c r="D165" s="520">
        <f>C165-1</f>
        <v>6</v>
      </c>
      <c r="E165" s="516">
        <f t="shared" si="80"/>
        <v>4</v>
      </c>
      <c r="F165" s="517">
        <f t="shared" si="81"/>
        <v>3</v>
      </c>
      <c r="G165" s="198">
        <v>0</v>
      </c>
    </row>
    <row r="166" spans="1:7" x14ac:dyDescent="0.2">
      <c r="A166" s="514" t="s">
        <v>195</v>
      </c>
      <c r="B166" s="521">
        <f>T64</f>
        <v>12</v>
      </c>
      <c r="C166" s="515"/>
      <c r="D166" s="516">
        <f>B166-1</f>
        <v>11</v>
      </c>
      <c r="E166" s="516">
        <f t="shared" si="80"/>
        <v>5</v>
      </c>
      <c r="F166" s="517">
        <f t="shared" si="81"/>
        <v>4</v>
      </c>
      <c r="G166" s="198">
        <v>0</v>
      </c>
    </row>
    <row r="167" spans="1:7" ht="13.5" thickBot="1" x14ac:dyDescent="0.25">
      <c r="A167" s="522" t="s">
        <v>196</v>
      </c>
      <c r="B167" s="523">
        <f>B166</f>
        <v>12</v>
      </c>
      <c r="C167" s="523">
        <f>T65</f>
        <v>8</v>
      </c>
      <c r="D167" s="524">
        <f>C167-1</f>
        <v>7</v>
      </c>
      <c r="E167" s="524">
        <f t="shared" si="80"/>
        <v>4</v>
      </c>
      <c r="F167" s="525">
        <f t="shared" si="81"/>
        <v>3</v>
      </c>
      <c r="G167" s="526">
        <v>0</v>
      </c>
    </row>
    <row r="170" spans="1:7" x14ac:dyDescent="0.2">
      <c r="A170" s="349" t="s">
        <v>254</v>
      </c>
      <c r="B170" s="349" t="s">
        <v>294</v>
      </c>
    </row>
    <row r="171" spans="1:7" x14ac:dyDescent="0.2">
      <c r="A171" s="527" t="s">
        <v>256</v>
      </c>
      <c r="B171" s="528">
        <f>HLOOKUP($B$170,'EA-18G Mission System Summary'!$B$1:$G$12,2,FALSE)</f>
        <v>0.87848681449920907</v>
      </c>
    </row>
    <row r="172" spans="1:7" x14ac:dyDescent="0.2">
      <c r="A172" s="527" t="str">
        <f t="shared" ref="A172:A180" si="82">A39</f>
        <v>Ready EA-18G Advanced Threat Mission Systems (C)</v>
      </c>
      <c r="B172" s="528">
        <f>HLOOKUP($B$170,'EA-18G Mission System Summary'!$B$1:$G$12,3,FALSE)</f>
        <v>0.1803524740970272</v>
      </c>
    </row>
    <row r="173" spans="1:7" x14ac:dyDescent="0.2">
      <c r="A173" s="527" t="str">
        <f t="shared" si="82"/>
        <v>Ready EA-18G HARM Mission Systems (D)</v>
      </c>
      <c r="B173" s="528">
        <f>HLOOKUP($B$170,'EA-18G Mission System Summary'!$B$1:$G$12,4,FALSE)</f>
        <v>0.81581291759465469</v>
      </c>
    </row>
    <row r="174" spans="1:7" x14ac:dyDescent="0.2">
      <c r="A174" s="527" t="str">
        <f t="shared" si="82"/>
        <v>Ready EA-18G AMRAAM Mission Systems (E)</v>
      </c>
      <c r="B174" s="528">
        <f>HLOOKUP($B$170,'EA-18G Mission System Summary'!$B$1:$G$12,5,FALSE)</f>
        <v>0.81964752590297263</v>
      </c>
    </row>
    <row r="175" spans="1:7" x14ac:dyDescent="0.2">
      <c r="A175" s="527" t="str">
        <f t="shared" si="82"/>
        <v>Ready EA-18G Ready Survivablity Mission System (F)</v>
      </c>
      <c r="B175" s="528">
        <f>HLOOKUP($B$170,'EA-18G Mission System Summary'!$B$1:$G$12,6,FALSE)</f>
        <v>0.81581291759465469</v>
      </c>
    </row>
    <row r="176" spans="1:7" x14ac:dyDescent="0.2">
      <c r="A176" s="527" t="str">
        <f t="shared" si="82"/>
        <v>Ready EA-18G Airborn Electronic Attack (AEA) System (G)</v>
      </c>
      <c r="B176" s="528">
        <f>HLOOKUP($B$170,'EA-18G Mission System Summary'!$B$1:$G$12,7,FALSE)</f>
        <v>0.81964752590297263</v>
      </c>
    </row>
    <row r="177" spans="1:2" x14ac:dyDescent="0.2">
      <c r="A177" s="527" t="str">
        <f t="shared" si="82"/>
        <v>Ready EA-18G Air Refueling System (I)</v>
      </c>
      <c r="B177" s="528">
        <f>HLOOKUP($B$170,'EA-18G Mission System Summary'!$B$1:$G$12,8,FALSE)</f>
        <v>0.1803524740970272</v>
      </c>
    </row>
    <row r="178" spans="1:2" x14ac:dyDescent="0.2">
      <c r="A178" s="527" t="str">
        <f t="shared" si="82"/>
        <v>Ready EA-18G Ready Tactical Navigation Systems (J)</v>
      </c>
      <c r="B178" s="528">
        <f>HLOOKUP($B$170,'EA-18G Mission System Summary'!$B$1:$G$12,9,FALSE)</f>
        <v>0.81964752590297263</v>
      </c>
    </row>
    <row r="179" spans="1:2" x14ac:dyDescent="0.2">
      <c r="A179" s="527" t="str">
        <f t="shared" si="82"/>
        <v>Ready EA-18G Shipboard Mission Systems (K)</v>
      </c>
      <c r="B179" s="528">
        <f>HLOOKUP($B$170,'EA-18G Mission System Summary'!$B$1:$G$12,10,FALSE)</f>
        <v>0.1803524740970272</v>
      </c>
    </row>
    <row r="180" spans="1:2" x14ac:dyDescent="0.2">
      <c r="A180" s="527" t="str">
        <f t="shared" si="82"/>
        <v>Ready EA-18G IMC Flight Mission Systems (L)</v>
      </c>
      <c r="B180" s="528">
        <f>HLOOKUP($B$170,'EA-18G Mission System Summary'!$B$1:$G$12,11,FALSE)</f>
        <v>1</v>
      </c>
    </row>
  </sheetData>
  <mergeCells count="19">
    <mergeCell ref="AG17:AJ17"/>
    <mergeCell ref="AG28:AH28"/>
    <mergeCell ref="AG38:AH38"/>
    <mergeCell ref="F137:G137"/>
    <mergeCell ref="A103:B103"/>
    <mergeCell ref="A104:B104"/>
    <mergeCell ref="A118:B118"/>
    <mergeCell ref="A122:B122"/>
    <mergeCell ref="B137:C137"/>
    <mergeCell ref="D137:E137"/>
    <mergeCell ref="A93:Y93"/>
    <mergeCell ref="Q16:S16"/>
    <mergeCell ref="T16:V16"/>
    <mergeCell ref="W16:X16"/>
    <mergeCell ref="M1:P1"/>
    <mergeCell ref="B16:D16"/>
    <mergeCell ref="G16:H16"/>
    <mergeCell ref="J16:K16"/>
    <mergeCell ref="N16:P16"/>
  </mergeCells>
  <conditionalFormatting sqref="C151">
    <cfRule type="cellIs" dxfId="116" priority="166" operator="equal">
      <formula>B151</formula>
    </cfRule>
  </conditionalFormatting>
  <conditionalFormatting sqref="D151:E151">
    <cfRule type="cellIs" dxfId="115" priority="169" operator="equal">
      <formula>C151</formula>
    </cfRule>
  </conditionalFormatting>
  <conditionalFormatting sqref="F151">
    <cfRule type="cellIs" dxfId="114" priority="167" operator="equal">
      <formula>E151</formula>
    </cfRule>
    <cfRule type="cellIs" dxfId="113" priority="168" operator="equal">
      <formula>G151</formula>
    </cfRule>
  </conditionalFormatting>
  <conditionalFormatting sqref="F139">
    <cfRule type="cellIs" dxfId="112" priority="76" operator="equal">
      <formula>E139</formula>
    </cfRule>
  </conditionalFormatting>
  <conditionalFormatting sqref="F139">
    <cfRule type="cellIs" dxfId="111" priority="74" operator="equal">
      <formula>E139</formula>
    </cfRule>
  </conditionalFormatting>
  <conditionalFormatting sqref="F139">
    <cfRule type="cellIs" dxfId="110" priority="73" operator="equal">
      <formula>E139</formula>
    </cfRule>
  </conditionalFormatting>
  <conditionalFormatting sqref="D139">
    <cfRule type="cellIs" dxfId="109" priority="72" operator="equal">
      <formula>C139</formula>
    </cfRule>
  </conditionalFormatting>
  <conditionalFormatting sqref="E139">
    <cfRule type="cellIs" dxfId="108" priority="77" operator="equal">
      <formula>D139</formula>
    </cfRule>
  </conditionalFormatting>
  <conditionalFormatting sqref="F140:F141">
    <cfRule type="cellIs" dxfId="107" priority="71" operator="equal">
      <formula>E140</formula>
    </cfRule>
    <cfRule type="cellIs" dxfId="106" priority="75" operator="equal">
      <formula>G140</formula>
    </cfRule>
  </conditionalFormatting>
  <conditionalFormatting sqref="D139">
    <cfRule type="cellIs" dxfId="105" priority="78" operator="equal">
      <formula>C139</formula>
    </cfRule>
  </conditionalFormatting>
  <conditionalFormatting sqref="C139">
    <cfRule type="cellIs" dxfId="104" priority="70" operator="equal">
      <formula>B139</formula>
    </cfRule>
  </conditionalFormatting>
  <conditionalFormatting sqref="C140">
    <cfRule type="cellIs" dxfId="103" priority="69" operator="equal">
      <formula>B140</formula>
    </cfRule>
  </conditionalFormatting>
  <conditionalFormatting sqref="E140">
    <cfRule type="cellIs" dxfId="102" priority="68" operator="equal">
      <formula>D140</formula>
    </cfRule>
  </conditionalFormatting>
  <conditionalFormatting sqref="E152:E167">
    <cfRule type="cellIs" dxfId="101" priority="38" operator="equal">
      <formula>D152</formula>
    </cfRule>
  </conditionalFormatting>
  <conditionalFormatting sqref="D152:D153">
    <cfRule type="cellIs" dxfId="100" priority="43" operator="equal">
      <formula>C152</formula>
    </cfRule>
  </conditionalFormatting>
  <conditionalFormatting sqref="F152:F167">
    <cfRule type="cellIs" dxfId="99" priority="41" operator="equal">
      <formula>E152</formula>
    </cfRule>
    <cfRule type="cellIs" dxfId="98" priority="42" operator="equal">
      <formula>G152</formula>
    </cfRule>
  </conditionalFormatting>
  <conditionalFormatting sqref="C152 C154 C156 C158 C160">
    <cfRule type="cellIs" dxfId="97" priority="40" operator="equal">
      <formula>B152</formula>
    </cfRule>
  </conditionalFormatting>
  <conditionalFormatting sqref="C162">
    <cfRule type="cellIs" dxfId="96" priority="39" operator="equal">
      <formula>B162</formula>
    </cfRule>
  </conditionalFormatting>
  <conditionalFormatting sqref="C153">
    <cfRule type="cellIs" dxfId="95" priority="37" operator="equal">
      <formula>B153</formula>
    </cfRule>
  </conditionalFormatting>
  <conditionalFormatting sqref="C164 C166">
    <cfRule type="cellIs" dxfId="94" priority="36" operator="equal">
      <formula>B164</formula>
    </cfRule>
  </conditionalFormatting>
  <conditionalFormatting sqref="C155">
    <cfRule type="cellIs" dxfId="93" priority="35" operator="equal">
      <formula>B155</formula>
    </cfRule>
  </conditionalFormatting>
  <conditionalFormatting sqref="C157">
    <cfRule type="cellIs" dxfId="92" priority="34" operator="equal">
      <formula>B157</formula>
    </cfRule>
  </conditionalFormatting>
  <conditionalFormatting sqref="C159">
    <cfRule type="cellIs" dxfId="91" priority="33" operator="equal">
      <formula>B159</formula>
    </cfRule>
  </conditionalFormatting>
  <conditionalFormatting sqref="C161">
    <cfRule type="cellIs" dxfId="90" priority="32" operator="equal">
      <formula>B161</formula>
    </cfRule>
  </conditionalFormatting>
  <conditionalFormatting sqref="C163">
    <cfRule type="cellIs" dxfId="89" priority="31" operator="equal">
      <formula>B163</formula>
    </cfRule>
  </conditionalFormatting>
  <conditionalFormatting sqref="C165">
    <cfRule type="cellIs" dxfId="88" priority="30" operator="equal">
      <formula>B165</formula>
    </cfRule>
  </conditionalFormatting>
  <conditionalFormatting sqref="C167">
    <cfRule type="cellIs" dxfId="87" priority="29" operator="equal">
      <formula>B167</formula>
    </cfRule>
  </conditionalFormatting>
  <conditionalFormatting sqref="D154:D155">
    <cfRule type="cellIs" dxfId="86" priority="28" operator="equal">
      <formula>C154</formula>
    </cfRule>
  </conditionalFormatting>
  <conditionalFormatting sqref="D156:D157">
    <cfRule type="cellIs" dxfId="85" priority="27" operator="equal">
      <formula>C156</formula>
    </cfRule>
  </conditionalFormatting>
  <conditionalFormatting sqref="D158:D159">
    <cfRule type="cellIs" dxfId="84" priority="26" operator="equal">
      <formula>C158</formula>
    </cfRule>
  </conditionalFormatting>
  <conditionalFormatting sqref="D160:D161">
    <cfRule type="cellIs" dxfId="83" priority="25" operator="equal">
      <formula>C160</formula>
    </cfRule>
  </conditionalFormatting>
  <conditionalFormatting sqref="D162:D163">
    <cfRule type="cellIs" dxfId="82" priority="24" operator="equal">
      <formula>C162</formula>
    </cfRule>
  </conditionalFormatting>
  <conditionalFormatting sqref="D164:D165">
    <cfRule type="cellIs" dxfId="81" priority="23" operator="equal">
      <formula>C164</formula>
    </cfRule>
  </conditionalFormatting>
  <conditionalFormatting sqref="D166:D167">
    <cfRule type="cellIs" dxfId="80" priority="22" operator="equal">
      <formula>C166</formula>
    </cfRule>
  </conditionalFormatting>
  <conditionalFormatting sqref="B124:B127 B130:B135">
    <cfRule type="cellIs" dxfId="79" priority="79" operator="notEqual">
      <formula>#REF!</formula>
    </cfRule>
  </conditionalFormatting>
  <conditionalFormatting sqref="E149:E150">
    <cfRule type="cellIs" dxfId="78" priority="8" operator="equal">
      <formula>D149</formula>
    </cfRule>
  </conditionalFormatting>
  <conditionalFormatting sqref="F142">
    <cfRule type="cellIs" dxfId="77" priority="19" operator="equal">
      <formula>E142</formula>
    </cfRule>
  </conditionalFormatting>
  <conditionalFormatting sqref="C142:C148">
    <cfRule type="cellIs" dxfId="76" priority="18" operator="equal">
      <formula>B142</formula>
    </cfRule>
  </conditionalFormatting>
  <conditionalFormatting sqref="E142">
    <cfRule type="cellIs" dxfId="75" priority="17" operator="equal">
      <formula>D142</formula>
    </cfRule>
  </conditionalFormatting>
  <conditionalFormatting sqref="E143">
    <cfRule type="cellIs" dxfId="74" priority="15" operator="equal">
      <formula>D143</formula>
    </cfRule>
  </conditionalFormatting>
  <conditionalFormatting sqref="E144">
    <cfRule type="cellIs" dxfId="73" priority="14" operator="equal">
      <formula>D144</formula>
    </cfRule>
  </conditionalFormatting>
  <conditionalFormatting sqref="E145">
    <cfRule type="cellIs" dxfId="72" priority="13" operator="equal">
      <formula>D145</formula>
    </cfRule>
  </conditionalFormatting>
  <conditionalFormatting sqref="E146">
    <cfRule type="cellIs" dxfId="71" priority="12" operator="equal">
      <formula>D146</formula>
    </cfRule>
  </conditionalFormatting>
  <conditionalFormatting sqref="E147">
    <cfRule type="cellIs" dxfId="70" priority="11" operator="equal">
      <formula>D147</formula>
    </cfRule>
  </conditionalFormatting>
  <conditionalFormatting sqref="E148">
    <cfRule type="cellIs" dxfId="69" priority="10" operator="equal">
      <formula>D148</formula>
    </cfRule>
  </conditionalFormatting>
  <conditionalFormatting sqref="C149:C150">
    <cfRule type="cellIs" dxfId="68" priority="9" operator="equal">
      <formula>B149</formula>
    </cfRule>
  </conditionalFormatting>
  <conditionalFormatting sqref="F143">
    <cfRule type="cellIs" dxfId="67" priority="7" operator="equal">
      <formula>E143</formula>
    </cfRule>
  </conditionalFormatting>
  <conditionalFormatting sqref="F144">
    <cfRule type="cellIs" dxfId="66" priority="6" operator="equal">
      <formula>E144</formula>
    </cfRule>
  </conditionalFormatting>
  <conditionalFormatting sqref="F145">
    <cfRule type="cellIs" dxfId="65" priority="5" operator="equal">
      <formula>E145</formula>
    </cfRule>
  </conditionalFormatting>
  <conditionalFormatting sqref="F146">
    <cfRule type="cellIs" dxfId="64" priority="4" operator="equal">
      <formula>E146</formula>
    </cfRule>
  </conditionalFormatting>
  <conditionalFormatting sqref="F147">
    <cfRule type="cellIs" dxfId="63" priority="3" operator="equal">
      <formula>E147</formula>
    </cfRule>
  </conditionalFormatting>
  <conditionalFormatting sqref="F148">
    <cfRule type="cellIs" dxfId="62" priority="2" operator="equal">
      <formula>E148</formula>
    </cfRule>
  </conditionalFormatting>
  <conditionalFormatting sqref="F149:F150">
    <cfRule type="cellIs" dxfId="61" priority="1" operator="equal">
      <formula>E149</formula>
    </cfRule>
  </conditionalFormatting>
  <dataValidations disablePrompts="1" count="1">
    <dataValidation type="list" allowBlank="1" showInputMessage="1" showErrorMessage="1" sqref="AH20" xr:uid="{00000000-0002-0000-0700-000000000000}">
      <formula1>$B$14:$X$14</formula1>
    </dataValidation>
  </dataValidations>
  <hyperlinks>
    <hyperlink ref="J137" location="Inventory!A1" display="Inventory" xr:uid="{00000000-0004-0000-0700-000000000000}"/>
    <hyperlink ref="J138" location="'VAQ (5 EA-18G) Reserve EXPED'!A1" display="Top" xr:uid="{00000000-0004-0000-0700-000001000000}"/>
    <hyperlink ref="H1" location="Inventory!A1" display="Inventory" xr:uid="{00000000-0004-0000-0700-000002000000}"/>
    <hyperlink ref="H2" location="'VAQ (5 EA-18G) Reserve EXPED'!A167" display="AMFOM" xr:uid="{00000000-0004-0000-0700-000003000000}"/>
  </hyperlinks>
  <printOptions horizontalCentered="1" verticalCentered="1"/>
  <pageMargins left="0.5" right="0.25" top="0.5" bottom="0.5" header="0.5" footer="0.5"/>
  <pageSetup scale="3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180"/>
  <sheetViews>
    <sheetView showGridLines="0" topLeftCell="A133" zoomScaleSheetLayoutView="40" workbookViewId="0">
      <selection activeCell="A172" sqref="A172"/>
    </sheetView>
  </sheetViews>
  <sheetFormatPr defaultColWidth="8.85546875" defaultRowHeight="12.75" x14ac:dyDescent="0.2"/>
  <cols>
    <col min="1" max="1" width="45.85546875" style="7" customWidth="1"/>
    <col min="2" max="25" width="5.7109375" style="7" customWidth="1"/>
    <col min="26" max="26" width="5.7109375" style="85" customWidth="1"/>
    <col min="27" max="29" width="5.7109375" style="7" customWidth="1"/>
    <col min="30" max="30" width="6.28515625" style="7" bestFit="1" customWidth="1"/>
    <col min="31" max="31" width="5.7109375" style="7" customWidth="1"/>
    <col min="32" max="37" width="20.7109375" style="7" customWidth="1"/>
    <col min="38" max="16384" width="8.85546875" style="7"/>
  </cols>
  <sheetData>
    <row r="1" spans="1:36" s="1" customFormat="1" ht="18.75" x14ac:dyDescent="0.3">
      <c r="A1" s="166" t="s">
        <v>295</v>
      </c>
      <c r="B1" s="166"/>
      <c r="C1" s="166"/>
      <c r="D1" s="166"/>
      <c r="E1" s="166"/>
      <c r="F1" s="166"/>
      <c r="G1" s="26"/>
      <c r="H1" s="80" t="s">
        <v>63</v>
      </c>
      <c r="K1" s="83"/>
      <c r="L1" s="167" t="s">
        <v>2</v>
      </c>
      <c r="M1" s="648">
        <v>44835</v>
      </c>
      <c r="N1" s="649"/>
      <c r="O1" s="650"/>
      <c r="P1" s="650"/>
      <c r="Z1" s="85"/>
      <c r="AC1" s="312" t="s">
        <v>64</v>
      </c>
      <c r="AD1" s="313">
        <v>5.07</v>
      </c>
    </row>
    <row r="2" spans="1:36" s="3" customFormat="1" x14ac:dyDescent="0.2">
      <c r="A2" s="40" t="s">
        <v>65</v>
      </c>
      <c r="B2" s="168">
        <v>5</v>
      </c>
      <c r="C2" s="39"/>
      <c r="D2" s="39"/>
      <c r="E2" s="39"/>
      <c r="F2" s="39"/>
      <c r="H2" s="342" t="s">
        <v>3</v>
      </c>
      <c r="N2" s="4"/>
      <c r="O2" s="4"/>
      <c r="P2" s="4"/>
      <c r="Q2" s="4"/>
      <c r="R2" s="4"/>
      <c r="S2" s="4"/>
      <c r="T2" s="4"/>
      <c r="U2" s="4"/>
      <c r="V2" s="4"/>
      <c r="W2" s="2"/>
      <c r="X2" s="2"/>
      <c r="Y2" s="2"/>
      <c r="Z2" s="86"/>
    </row>
    <row r="3" spans="1:36" s="3" customFormat="1" ht="11.25" x14ac:dyDescent="0.2">
      <c r="A3" s="40" t="s">
        <v>66</v>
      </c>
      <c r="B3" s="169">
        <f>B4/B2</f>
        <v>2.6</v>
      </c>
      <c r="C3" s="39"/>
      <c r="D3" s="39"/>
      <c r="E3" s="39"/>
      <c r="F3" s="39"/>
      <c r="I3" s="2"/>
      <c r="J3" s="2"/>
      <c r="K3" s="2"/>
      <c r="N3" s="4"/>
      <c r="O3" s="4"/>
      <c r="P3" s="4"/>
      <c r="Q3" s="4"/>
      <c r="R3" s="4"/>
      <c r="S3" s="4"/>
      <c r="T3" s="4"/>
      <c r="U3" s="4"/>
      <c r="V3" s="4"/>
      <c r="W3" s="2"/>
      <c r="X3" s="2"/>
      <c r="Y3" s="2"/>
      <c r="Z3" s="86"/>
    </row>
    <row r="4" spans="1:36" s="3" customFormat="1" ht="11.25" x14ac:dyDescent="0.2">
      <c r="A4" s="40" t="s">
        <v>67</v>
      </c>
      <c r="B4" s="170">
        <v>13</v>
      </c>
      <c r="C4" s="39"/>
      <c r="D4" s="39"/>
      <c r="E4" s="39"/>
      <c r="F4" s="39"/>
      <c r="G4" s="2"/>
      <c r="H4" s="2"/>
      <c r="I4" s="2"/>
      <c r="J4" s="2"/>
      <c r="K4" s="2"/>
      <c r="N4" s="4"/>
      <c r="O4" s="4"/>
      <c r="P4" s="4"/>
      <c r="Q4" s="4"/>
      <c r="R4" s="4"/>
      <c r="S4" s="4"/>
      <c r="T4" s="4"/>
      <c r="U4" s="4"/>
      <c r="V4" s="4"/>
      <c r="W4" s="2"/>
      <c r="X4" s="2"/>
      <c r="Y4" s="2"/>
      <c r="Z4" s="86"/>
    </row>
    <row r="5" spans="1:36" s="3" customFormat="1" ht="11.25" x14ac:dyDescent="0.2">
      <c r="A5" s="40" t="s">
        <v>68</v>
      </c>
      <c r="B5" s="39">
        <v>1.5</v>
      </c>
      <c r="C5" s="171"/>
      <c r="D5" s="39"/>
      <c r="E5" s="39"/>
      <c r="F5" s="39"/>
      <c r="G5" s="2"/>
      <c r="H5" s="2"/>
      <c r="I5" s="2"/>
      <c r="J5" s="2"/>
      <c r="K5" s="2"/>
      <c r="N5" s="4"/>
      <c r="O5" s="4"/>
      <c r="P5" s="4"/>
      <c r="Q5" s="4"/>
      <c r="R5" s="4"/>
      <c r="S5" s="4"/>
      <c r="T5" s="4"/>
      <c r="U5" s="4"/>
      <c r="V5" s="4"/>
      <c r="W5" s="2"/>
      <c r="X5" s="2"/>
      <c r="Y5" s="2"/>
      <c r="Z5" s="86"/>
    </row>
    <row r="6" spans="1:36" s="3" customFormat="1" ht="11.25" x14ac:dyDescent="0.2">
      <c r="A6" s="172" t="s">
        <v>69</v>
      </c>
      <c r="B6" s="39">
        <v>15.5</v>
      </c>
      <c r="C6" s="171"/>
      <c r="D6" s="39"/>
      <c r="E6" s="39"/>
      <c r="F6" s="39"/>
      <c r="G6" s="2"/>
      <c r="H6" s="2"/>
      <c r="I6" s="2"/>
      <c r="J6" s="2"/>
      <c r="K6" s="2"/>
      <c r="L6" s="4"/>
      <c r="M6" s="4"/>
      <c r="N6" s="4"/>
      <c r="O6" s="4"/>
      <c r="P6" s="4"/>
      <c r="Q6" s="4"/>
      <c r="R6" s="4"/>
      <c r="S6" s="4"/>
      <c r="T6" s="4"/>
      <c r="U6" s="4"/>
      <c r="V6" s="4"/>
      <c r="W6" s="2"/>
      <c r="X6" s="2"/>
      <c r="Y6" s="2"/>
      <c r="Z6" s="86"/>
      <c r="AA6" s="59"/>
    </row>
    <row r="7" spans="1:36" s="3" customFormat="1" ht="11.25" x14ac:dyDescent="0.2">
      <c r="A7" s="40" t="s">
        <v>70</v>
      </c>
      <c r="B7" s="39">
        <f>B6*B4</f>
        <v>201.5</v>
      </c>
      <c r="C7" s="41"/>
      <c r="D7" s="41"/>
      <c r="E7" s="39"/>
      <c r="F7" s="39"/>
      <c r="G7" s="2"/>
      <c r="H7" s="2"/>
      <c r="I7" s="2"/>
      <c r="J7" s="2"/>
      <c r="K7" s="2"/>
      <c r="L7" s="2"/>
      <c r="M7" s="2"/>
      <c r="N7" s="2"/>
      <c r="O7" s="2"/>
      <c r="P7" s="2"/>
      <c r="Q7" s="2"/>
      <c r="R7" s="2"/>
      <c r="S7" s="2"/>
      <c r="T7" s="2"/>
      <c r="U7" s="2"/>
      <c r="V7" s="2"/>
      <c r="W7" s="2"/>
      <c r="X7" s="2"/>
      <c r="Y7" s="2"/>
      <c r="Z7" s="86"/>
    </row>
    <row r="8" spans="1:36" s="3" customFormat="1" ht="11.25" x14ac:dyDescent="0.2">
      <c r="A8" s="40" t="s">
        <v>71</v>
      </c>
      <c r="B8" s="168">
        <f>B7/B5</f>
        <v>134.33333333333334</v>
      </c>
      <c r="C8" s="39"/>
      <c r="D8" s="41"/>
      <c r="E8" s="39"/>
      <c r="F8" s="39"/>
      <c r="G8" s="2"/>
      <c r="H8" s="2"/>
      <c r="I8" s="2"/>
      <c r="J8" s="2"/>
      <c r="K8" s="2"/>
      <c r="L8" s="2"/>
      <c r="M8" s="2"/>
      <c r="N8" s="2"/>
      <c r="O8" s="2"/>
      <c r="P8" s="2"/>
      <c r="Q8" s="2"/>
      <c r="R8" s="2"/>
      <c r="S8" s="2"/>
      <c r="T8" s="2"/>
      <c r="U8" s="2"/>
      <c r="V8" s="2"/>
      <c r="W8" s="2"/>
      <c r="X8" s="2"/>
      <c r="Y8" s="2"/>
      <c r="Z8" s="86"/>
    </row>
    <row r="9" spans="1:36" s="3" customFormat="1" ht="11.25" x14ac:dyDescent="0.2">
      <c r="A9" s="40" t="s">
        <v>72</v>
      </c>
      <c r="B9" s="168">
        <f>B4*C9</f>
        <v>13</v>
      </c>
      <c r="C9" s="39">
        <v>1</v>
      </c>
      <c r="D9" s="150" t="s">
        <v>73</v>
      </c>
      <c r="E9" s="39"/>
      <c r="F9" s="2"/>
      <c r="G9" s="56" t="s">
        <v>74</v>
      </c>
      <c r="H9" s="57">
        <v>0.4</v>
      </c>
      <c r="I9" s="2"/>
      <c r="J9" s="2"/>
      <c r="K9" s="2"/>
      <c r="L9" s="2"/>
      <c r="M9" s="2"/>
      <c r="N9" s="2"/>
      <c r="O9" s="2"/>
      <c r="P9" s="2"/>
      <c r="Q9" s="2"/>
      <c r="R9" s="2"/>
      <c r="S9" s="2"/>
      <c r="T9" s="2"/>
      <c r="U9" s="2"/>
      <c r="V9" s="2"/>
      <c r="W9" s="2"/>
      <c r="X9" s="2"/>
      <c r="Y9" s="2"/>
      <c r="Z9" s="86"/>
    </row>
    <row r="10" spans="1:36" s="3" customFormat="1" ht="11.25" x14ac:dyDescent="0.2">
      <c r="A10" s="40" t="s">
        <v>75</v>
      </c>
      <c r="B10" s="168">
        <f>B4*C10</f>
        <v>35.1</v>
      </c>
      <c r="C10" s="39">
        <v>2.7</v>
      </c>
      <c r="D10" s="150" t="s">
        <v>73</v>
      </c>
      <c r="E10" s="39"/>
      <c r="F10" s="2"/>
      <c r="G10" s="58" t="s">
        <v>76</v>
      </c>
      <c r="H10" s="57">
        <v>0.26700000000000002</v>
      </c>
      <c r="I10" s="2"/>
      <c r="J10" s="2"/>
      <c r="K10" s="2"/>
      <c r="L10" s="2"/>
      <c r="M10" s="2"/>
      <c r="N10" s="2"/>
      <c r="O10" s="2"/>
      <c r="P10" s="2"/>
      <c r="Q10" s="2"/>
      <c r="R10" s="2"/>
      <c r="S10" s="2"/>
      <c r="T10" s="2"/>
      <c r="U10" s="2"/>
      <c r="V10" s="2"/>
      <c r="W10" s="2"/>
      <c r="X10" s="2"/>
      <c r="Y10" s="2"/>
      <c r="Z10" s="86"/>
    </row>
    <row r="11" spans="1:36" s="3" customFormat="1" ht="11.25" x14ac:dyDescent="0.2">
      <c r="A11" s="149" t="s">
        <v>77</v>
      </c>
      <c r="B11" s="122">
        <f>C11*B4</f>
        <v>13</v>
      </c>
      <c r="C11" s="4">
        <v>1</v>
      </c>
      <c r="D11" s="150" t="s">
        <v>73</v>
      </c>
      <c r="E11" s="39"/>
      <c r="F11" s="2"/>
      <c r="G11" s="58"/>
      <c r="H11" s="57"/>
      <c r="I11" s="2"/>
      <c r="J11" s="2"/>
      <c r="K11" s="2"/>
      <c r="L11" s="2"/>
      <c r="M11" s="2"/>
      <c r="N11" s="2"/>
      <c r="O11" s="2"/>
      <c r="P11" s="2"/>
      <c r="Q11" s="2"/>
      <c r="R11" s="2"/>
      <c r="S11" s="2"/>
      <c r="T11" s="2"/>
      <c r="U11" s="2"/>
      <c r="V11" s="2"/>
      <c r="W11" s="2"/>
      <c r="X11" s="2"/>
      <c r="Y11" s="2"/>
      <c r="Z11" s="86"/>
    </row>
    <row r="12" spans="1:36" s="3" customFormat="1" ht="11.25" x14ac:dyDescent="0.2">
      <c r="A12" s="40"/>
      <c r="B12" s="41"/>
      <c r="C12" s="39"/>
      <c r="D12" s="41"/>
      <c r="E12" s="39"/>
      <c r="F12" s="39"/>
      <c r="G12" s="2"/>
      <c r="H12" s="2"/>
      <c r="I12" s="2"/>
      <c r="J12" s="2"/>
      <c r="K12" s="2"/>
      <c r="L12" s="2"/>
      <c r="M12" s="2"/>
      <c r="N12" s="2"/>
      <c r="O12" s="2"/>
      <c r="P12" s="2"/>
      <c r="Q12" s="2"/>
      <c r="R12" s="2"/>
      <c r="S12" s="2"/>
      <c r="T12" s="2"/>
      <c r="U12" s="2"/>
      <c r="V12" s="2"/>
      <c r="W12" s="2"/>
      <c r="X12" s="2"/>
      <c r="Y12" s="2"/>
      <c r="Z12" s="86"/>
    </row>
    <row r="13" spans="1:36" s="5" customFormat="1" ht="59.25" x14ac:dyDescent="0.4">
      <c r="A13" s="532" t="s">
        <v>79</v>
      </c>
      <c r="B13" s="414" t="s">
        <v>80</v>
      </c>
      <c r="C13" s="414" t="s">
        <v>80</v>
      </c>
      <c r="D13" s="414" t="s">
        <v>80</v>
      </c>
      <c r="E13" s="414" t="s">
        <v>81</v>
      </c>
      <c r="F13" s="414" t="s">
        <v>81</v>
      </c>
      <c r="G13" s="414" t="s">
        <v>81</v>
      </c>
      <c r="H13" s="414" t="s">
        <v>81</v>
      </c>
      <c r="I13" s="414" t="s">
        <v>81</v>
      </c>
      <c r="J13" s="414" t="s">
        <v>81</v>
      </c>
      <c r="K13" s="414" t="s">
        <v>81</v>
      </c>
      <c r="L13" s="414" t="s">
        <v>81</v>
      </c>
      <c r="M13" s="414" t="s">
        <v>81</v>
      </c>
      <c r="N13" s="414" t="s">
        <v>82</v>
      </c>
      <c r="O13" s="414" t="s">
        <v>83</v>
      </c>
      <c r="P13" s="414" t="s">
        <v>83</v>
      </c>
      <c r="Q13" s="414" t="s">
        <v>84</v>
      </c>
      <c r="R13" s="414" t="s">
        <v>84</v>
      </c>
      <c r="S13" s="414" t="s">
        <v>84</v>
      </c>
      <c r="T13" s="414" t="s">
        <v>85</v>
      </c>
      <c r="U13" s="414" t="s">
        <v>85</v>
      </c>
      <c r="V13" s="414" t="s">
        <v>85</v>
      </c>
      <c r="W13" s="414" t="s">
        <v>84</v>
      </c>
      <c r="X13" s="561" t="s">
        <v>84</v>
      </c>
      <c r="Y13" s="416" t="s">
        <v>86</v>
      </c>
      <c r="Z13" s="85"/>
      <c r="AF13" s="87"/>
      <c r="AG13" s="88" t="s">
        <v>87</v>
      </c>
      <c r="AH13" s="89"/>
      <c r="AI13" s="89"/>
      <c r="AJ13" s="89"/>
    </row>
    <row r="14" spans="1:36" s="6" customFormat="1" ht="12" x14ac:dyDescent="0.2">
      <c r="A14" s="532" t="s">
        <v>88</v>
      </c>
      <c r="B14" s="534" t="s">
        <v>89</v>
      </c>
      <c r="C14" s="534" t="s">
        <v>90</v>
      </c>
      <c r="D14" s="534" t="s">
        <v>91</v>
      </c>
      <c r="E14" s="534" t="s">
        <v>92</v>
      </c>
      <c r="F14" s="534" t="s">
        <v>93</v>
      </c>
      <c r="G14" s="534" t="s">
        <v>94</v>
      </c>
      <c r="H14" s="534" t="s">
        <v>95</v>
      </c>
      <c r="I14" s="534" t="s">
        <v>96</v>
      </c>
      <c r="J14" s="534" t="s">
        <v>97</v>
      </c>
      <c r="K14" s="534" t="s">
        <v>98</v>
      </c>
      <c r="L14" s="534" t="s">
        <v>99</v>
      </c>
      <c r="M14" s="534" t="s">
        <v>100</v>
      </c>
      <c r="N14" s="534" t="s">
        <v>101</v>
      </c>
      <c r="O14" s="534" t="s">
        <v>102</v>
      </c>
      <c r="P14" s="534" t="s">
        <v>103</v>
      </c>
      <c r="Q14" s="534" t="s">
        <v>284</v>
      </c>
      <c r="R14" s="534" t="s">
        <v>285</v>
      </c>
      <c r="S14" s="534" t="s">
        <v>104</v>
      </c>
      <c r="T14" s="417" t="s">
        <v>105</v>
      </c>
      <c r="U14" s="417" t="s">
        <v>106</v>
      </c>
      <c r="V14" s="417" t="s">
        <v>107</v>
      </c>
      <c r="W14" s="534" t="s">
        <v>111</v>
      </c>
      <c r="X14" s="389" t="s">
        <v>112</v>
      </c>
      <c r="Y14" s="417" t="s">
        <v>116</v>
      </c>
      <c r="Z14" s="90">
        <v>1</v>
      </c>
      <c r="AF14" s="87"/>
      <c r="AG14" s="91"/>
      <c r="AH14" s="91"/>
      <c r="AI14" s="91"/>
      <c r="AJ14" s="91"/>
    </row>
    <row r="15" spans="1:36" s="6" customFormat="1" ht="12" x14ac:dyDescent="0.2">
      <c r="A15" s="532" t="s">
        <v>117</v>
      </c>
      <c r="B15" s="562">
        <v>1</v>
      </c>
      <c r="C15" s="562">
        <f t="shared" ref="C15:X15" si="0">B15+1</f>
        <v>2</v>
      </c>
      <c r="D15" s="562">
        <f t="shared" si="0"/>
        <v>3</v>
      </c>
      <c r="E15" s="535">
        <f t="shared" si="0"/>
        <v>4</v>
      </c>
      <c r="F15" s="535">
        <f t="shared" si="0"/>
        <v>5</v>
      </c>
      <c r="G15" s="535">
        <f t="shared" si="0"/>
        <v>6</v>
      </c>
      <c r="H15" s="535">
        <f t="shared" si="0"/>
        <v>7</v>
      </c>
      <c r="I15" s="535">
        <f t="shared" si="0"/>
        <v>8</v>
      </c>
      <c r="J15" s="535">
        <f t="shared" si="0"/>
        <v>9</v>
      </c>
      <c r="K15" s="535">
        <f t="shared" si="0"/>
        <v>10</v>
      </c>
      <c r="L15" s="535">
        <f t="shared" si="0"/>
        <v>11</v>
      </c>
      <c r="M15" s="535">
        <f t="shared" si="0"/>
        <v>12</v>
      </c>
      <c r="N15" s="535">
        <f t="shared" si="0"/>
        <v>13</v>
      </c>
      <c r="O15" s="535">
        <f t="shared" si="0"/>
        <v>14</v>
      </c>
      <c r="P15" s="535">
        <f t="shared" si="0"/>
        <v>15</v>
      </c>
      <c r="Q15" s="562">
        <f t="shared" si="0"/>
        <v>16</v>
      </c>
      <c r="R15" s="562">
        <f t="shared" si="0"/>
        <v>17</v>
      </c>
      <c r="S15" s="562">
        <f t="shared" si="0"/>
        <v>18</v>
      </c>
      <c r="T15" s="562">
        <f t="shared" si="0"/>
        <v>19</v>
      </c>
      <c r="U15" s="562">
        <f t="shared" si="0"/>
        <v>20</v>
      </c>
      <c r="V15" s="562">
        <f t="shared" si="0"/>
        <v>21</v>
      </c>
      <c r="W15" s="562">
        <f t="shared" si="0"/>
        <v>22</v>
      </c>
      <c r="X15" s="563">
        <f t="shared" si="0"/>
        <v>23</v>
      </c>
      <c r="Y15" s="417">
        <v>28</v>
      </c>
      <c r="Z15" s="92">
        <v>2</v>
      </c>
      <c r="AF15" s="87"/>
      <c r="AG15" s="91"/>
      <c r="AH15" s="91"/>
      <c r="AI15" s="91"/>
      <c r="AJ15" s="91"/>
    </row>
    <row r="16" spans="1:36" ht="12" x14ac:dyDescent="0.2">
      <c r="A16" s="532" t="s">
        <v>118</v>
      </c>
      <c r="B16" s="660" t="s">
        <v>286</v>
      </c>
      <c r="C16" s="661"/>
      <c r="D16" s="662"/>
      <c r="E16" s="563" t="s">
        <v>287</v>
      </c>
      <c r="F16" s="564" t="s">
        <v>288</v>
      </c>
      <c r="G16" s="665" t="s">
        <v>287</v>
      </c>
      <c r="H16" s="662"/>
      <c r="I16" s="564" t="s">
        <v>288</v>
      </c>
      <c r="J16" s="665" t="s">
        <v>287</v>
      </c>
      <c r="K16" s="662"/>
      <c r="L16" s="564" t="s">
        <v>288</v>
      </c>
      <c r="M16" s="565" t="s">
        <v>287</v>
      </c>
      <c r="N16" s="660" t="s">
        <v>289</v>
      </c>
      <c r="O16" s="663"/>
      <c r="P16" s="662"/>
      <c r="Q16" s="660" t="s">
        <v>84</v>
      </c>
      <c r="R16" s="661"/>
      <c r="S16" s="662"/>
      <c r="T16" s="663" t="s">
        <v>123</v>
      </c>
      <c r="U16" s="661"/>
      <c r="V16" s="662"/>
      <c r="W16" s="664" t="s">
        <v>84</v>
      </c>
      <c r="X16" s="660"/>
      <c r="Y16" s="417" t="s">
        <v>124</v>
      </c>
      <c r="Z16" s="90">
        <v>3</v>
      </c>
      <c r="AF16" s="93"/>
      <c r="AG16" s="94"/>
      <c r="AH16" s="95"/>
      <c r="AI16" s="87"/>
      <c r="AJ16" s="87"/>
    </row>
    <row r="17" spans="1:37" x14ac:dyDescent="0.2">
      <c r="A17" s="97" t="s">
        <v>125</v>
      </c>
      <c r="B17" s="365"/>
      <c r="C17" s="8"/>
      <c r="D17" s="8"/>
      <c r="E17" s="8"/>
      <c r="F17" s="8"/>
      <c r="G17" s="8"/>
      <c r="H17" s="8"/>
      <c r="I17" s="8"/>
      <c r="J17" s="8"/>
      <c r="K17" s="8"/>
      <c r="L17" s="8"/>
      <c r="M17" s="8"/>
      <c r="N17" s="8"/>
      <c r="O17" s="8"/>
      <c r="P17" s="8"/>
      <c r="Q17" s="8"/>
      <c r="R17" s="8"/>
      <c r="S17" s="8"/>
      <c r="T17" s="8"/>
      <c r="U17" s="8"/>
      <c r="V17" s="8"/>
      <c r="W17" s="8"/>
      <c r="X17" s="8"/>
      <c r="Y17" s="421"/>
      <c r="Z17" s="90">
        <v>4</v>
      </c>
      <c r="AF17" s="93"/>
      <c r="AG17" s="629" t="s">
        <v>126</v>
      </c>
      <c r="AH17" s="629"/>
      <c r="AI17" s="629"/>
      <c r="AJ17" s="629"/>
    </row>
    <row r="18" spans="1:37" s="99" customFormat="1" ht="12" x14ac:dyDescent="0.2">
      <c r="A18" s="418" t="s">
        <v>127</v>
      </c>
      <c r="B18" s="419">
        <f t="shared" ref="B18:Y18" si="1">IF(B96&lt;80,B97,MIN(B96,80))</f>
        <v>0</v>
      </c>
      <c r="C18" s="419">
        <f t="shared" si="1"/>
        <v>0</v>
      </c>
      <c r="D18" s="419">
        <f t="shared" si="1"/>
        <v>0</v>
      </c>
      <c r="E18" s="419">
        <f t="shared" si="1"/>
        <v>0</v>
      </c>
      <c r="F18" s="419">
        <f t="shared" si="1"/>
        <v>4.2980862784831739</v>
      </c>
      <c r="G18" s="419">
        <f t="shared" si="1"/>
        <v>9.2980862784831739</v>
      </c>
      <c r="H18" s="419">
        <f t="shared" si="1"/>
        <v>14.298086278483174</v>
      </c>
      <c r="I18" s="419">
        <f t="shared" si="1"/>
        <v>29.298086278483176</v>
      </c>
      <c r="J18" s="419">
        <f t="shared" si="1"/>
        <v>29.298086278483176</v>
      </c>
      <c r="K18" s="419">
        <f t="shared" si="1"/>
        <v>29.298086278483176</v>
      </c>
      <c r="L18" s="419">
        <f t="shared" si="1"/>
        <v>29.298086278483176</v>
      </c>
      <c r="M18" s="419">
        <f t="shared" si="1"/>
        <v>29.298086278483176</v>
      </c>
      <c r="N18" s="419">
        <f t="shared" si="1"/>
        <v>49.298086278483176</v>
      </c>
      <c r="O18" s="419">
        <f t="shared" si="1"/>
        <v>59.298086278483176</v>
      </c>
      <c r="P18" s="419">
        <f t="shared" si="1"/>
        <v>80</v>
      </c>
      <c r="Q18" s="419">
        <f t="shared" si="1"/>
        <v>80</v>
      </c>
      <c r="R18" s="419">
        <f t="shared" si="1"/>
        <v>80</v>
      </c>
      <c r="S18" s="419">
        <f t="shared" si="1"/>
        <v>80</v>
      </c>
      <c r="T18" s="419">
        <f t="shared" si="1"/>
        <v>80</v>
      </c>
      <c r="U18" s="419">
        <f t="shared" si="1"/>
        <v>80</v>
      </c>
      <c r="V18" s="419">
        <f t="shared" si="1"/>
        <v>80</v>
      </c>
      <c r="W18" s="419">
        <f t="shared" si="1"/>
        <v>54.298086278483176</v>
      </c>
      <c r="X18" s="420">
        <f t="shared" si="1"/>
        <v>54.298086278483176</v>
      </c>
      <c r="Y18" s="419">
        <f t="shared" si="1"/>
        <v>0</v>
      </c>
      <c r="Z18" s="92">
        <v>5</v>
      </c>
      <c r="AF18" s="93"/>
      <c r="AG18" s="102"/>
      <c r="AH18" s="102"/>
      <c r="AI18" s="101"/>
      <c r="AJ18" s="101"/>
    </row>
    <row r="19" spans="1:37" ht="12" x14ac:dyDescent="0.2">
      <c r="A19" s="421" t="s">
        <v>128</v>
      </c>
      <c r="B19" s="552">
        <v>0.4</v>
      </c>
      <c r="C19" s="552">
        <v>0.5</v>
      </c>
      <c r="D19" s="552">
        <v>0.5</v>
      </c>
      <c r="E19" s="552">
        <v>0.55000000000000004</v>
      </c>
      <c r="F19" s="552">
        <v>0.65</v>
      </c>
      <c r="G19" s="552">
        <v>0.55000000000000004</v>
      </c>
      <c r="H19" s="552">
        <v>0.55000000000000004</v>
      </c>
      <c r="I19" s="552">
        <v>0.65</v>
      </c>
      <c r="J19" s="552">
        <v>0.55000000000000004</v>
      </c>
      <c r="K19" s="552">
        <v>0.55000000000000004</v>
      </c>
      <c r="L19" s="552">
        <v>0.65</v>
      </c>
      <c r="M19" s="552">
        <v>0.55000000000000004</v>
      </c>
      <c r="N19" s="552">
        <v>0.6</v>
      </c>
      <c r="O19" s="552">
        <v>0.65</v>
      </c>
      <c r="P19" s="552">
        <v>0.7</v>
      </c>
      <c r="Q19" s="552">
        <v>0.7</v>
      </c>
      <c r="R19" s="552">
        <v>0.7</v>
      </c>
      <c r="S19" s="552">
        <v>0.4</v>
      </c>
      <c r="T19" s="552">
        <v>0.8</v>
      </c>
      <c r="U19" s="552">
        <v>0.8</v>
      </c>
      <c r="V19" s="552">
        <v>0.8</v>
      </c>
      <c r="W19" s="552">
        <v>0.4</v>
      </c>
      <c r="X19" s="322">
        <v>0.6</v>
      </c>
      <c r="Y19" s="566">
        <f>H9</f>
        <v>0.4</v>
      </c>
      <c r="Z19" s="90">
        <v>6</v>
      </c>
      <c r="AF19" s="93"/>
      <c r="AG19" s="96" t="s">
        <v>129</v>
      </c>
      <c r="AH19" s="96"/>
      <c r="AI19" s="103"/>
      <c r="AJ19" s="103"/>
    </row>
    <row r="20" spans="1:37" ht="12" x14ac:dyDescent="0.2">
      <c r="A20" s="423" t="s">
        <v>130</v>
      </c>
      <c r="B20" s="553"/>
      <c r="C20" s="155"/>
      <c r="D20" s="155"/>
      <c r="E20" s="155"/>
      <c r="F20" s="155"/>
      <c r="G20" s="155"/>
      <c r="H20" s="155"/>
      <c r="I20" s="155"/>
      <c r="J20" s="155"/>
      <c r="K20" s="155"/>
      <c r="L20" s="155"/>
      <c r="M20" s="155"/>
      <c r="N20" s="155"/>
      <c r="O20" s="155"/>
      <c r="P20" s="155"/>
      <c r="Q20" s="155"/>
      <c r="R20" s="155"/>
      <c r="S20" s="155"/>
      <c r="T20" s="155"/>
      <c r="U20" s="155"/>
      <c r="V20" s="155"/>
      <c r="W20" s="155"/>
      <c r="X20" s="155"/>
      <c r="Y20" s="566"/>
      <c r="Z20" s="90">
        <v>7</v>
      </c>
      <c r="AF20" s="93"/>
      <c r="AG20" s="87"/>
      <c r="AH20" s="426" t="s">
        <v>89</v>
      </c>
      <c r="AI20" s="104" t="s">
        <v>131</v>
      </c>
      <c r="AJ20" s="87"/>
    </row>
    <row r="21" spans="1:37" s="10" customFormat="1" ht="12" x14ac:dyDescent="0.2">
      <c r="A21" s="427" t="s">
        <v>132</v>
      </c>
      <c r="B21" s="152">
        <f t="shared" ref="B21:Y21" si="2">B19*$B$8</f>
        <v>53.733333333333341</v>
      </c>
      <c r="C21" s="152">
        <f t="shared" si="2"/>
        <v>67.166666666666671</v>
      </c>
      <c r="D21" s="152">
        <f t="shared" si="2"/>
        <v>67.166666666666671</v>
      </c>
      <c r="E21" s="152">
        <f t="shared" si="2"/>
        <v>73.88333333333334</v>
      </c>
      <c r="F21" s="152">
        <f t="shared" si="2"/>
        <v>87.316666666666677</v>
      </c>
      <c r="G21" s="152">
        <f t="shared" si="2"/>
        <v>73.88333333333334</v>
      </c>
      <c r="H21" s="152">
        <f t="shared" si="2"/>
        <v>73.88333333333334</v>
      </c>
      <c r="I21" s="152">
        <f t="shared" si="2"/>
        <v>87.316666666666677</v>
      </c>
      <c r="J21" s="152">
        <f t="shared" si="2"/>
        <v>73.88333333333334</v>
      </c>
      <c r="K21" s="152">
        <f t="shared" si="2"/>
        <v>73.88333333333334</v>
      </c>
      <c r="L21" s="152">
        <f t="shared" si="2"/>
        <v>87.316666666666677</v>
      </c>
      <c r="M21" s="152">
        <f t="shared" si="2"/>
        <v>73.88333333333334</v>
      </c>
      <c r="N21" s="152">
        <f t="shared" si="2"/>
        <v>80.600000000000009</v>
      </c>
      <c r="O21" s="152">
        <f t="shared" si="2"/>
        <v>87.316666666666677</v>
      </c>
      <c r="P21" s="152">
        <f t="shared" si="2"/>
        <v>94.033333333333331</v>
      </c>
      <c r="Q21" s="152">
        <f t="shared" si="2"/>
        <v>94.033333333333331</v>
      </c>
      <c r="R21" s="152">
        <f t="shared" si="2"/>
        <v>94.033333333333331</v>
      </c>
      <c r="S21" s="152">
        <f t="shared" si="2"/>
        <v>53.733333333333341</v>
      </c>
      <c r="T21" s="152">
        <f t="shared" si="2"/>
        <v>107.46666666666668</v>
      </c>
      <c r="U21" s="152">
        <f t="shared" si="2"/>
        <v>107.46666666666668</v>
      </c>
      <c r="V21" s="152">
        <f t="shared" si="2"/>
        <v>107.46666666666668</v>
      </c>
      <c r="W21" s="152">
        <f t="shared" si="2"/>
        <v>53.733333333333341</v>
      </c>
      <c r="X21" s="323">
        <f t="shared" si="2"/>
        <v>80.600000000000009</v>
      </c>
      <c r="Y21" s="428">
        <f t="shared" si="2"/>
        <v>53.733333333333341</v>
      </c>
      <c r="Z21" s="92">
        <v>8</v>
      </c>
      <c r="AF21" s="93"/>
      <c r="AG21" s="87"/>
      <c r="AH21" s="87"/>
      <c r="AI21" s="87"/>
      <c r="AJ21" s="87"/>
    </row>
    <row r="22" spans="1:37" s="11" customFormat="1" ht="12" x14ac:dyDescent="0.2">
      <c r="A22" s="427" t="s">
        <v>133</v>
      </c>
      <c r="B22" s="429">
        <f>B21*$B$5</f>
        <v>80.600000000000009</v>
      </c>
      <c r="C22" s="429">
        <f t="shared" ref="C22:X22" si="3">C21*$B$5</f>
        <v>100.75</v>
      </c>
      <c r="D22" s="429">
        <f t="shared" si="3"/>
        <v>100.75</v>
      </c>
      <c r="E22" s="429">
        <f t="shared" si="3"/>
        <v>110.82500000000002</v>
      </c>
      <c r="F22" s="429">
        <f t="shared" si="3"/>
        <v>130.97500000000002</v>
      </c>
      <c r="G22" s="429">
        <f t="shared" si="3"/>
        <v>110.82500000000002</v>
      </c>
      <c r="H22" s="429">
        <f t="shared" si="3"/>
        <v>110.82500000000002</v>
      </c>
      <c r="I22" s="429">
        <f t="shared" si="3"/>
        <v>130.97500000000002</v>
      </c>
      <c r="J22" s="429">
        <f t="shared" si="3"/>
        <v>110.82500000000002</v>
      </c>
      <c r="K22" s="429">
        <f t="shared" si="3"/>
        <v>110.82500000000002</v>
      </c>
      <c r="L22" s="429">
        <f t="shared" si="3"/>
        <v>130.97500000000002</v>
      </c>
      <c r="M22" s="429">
        <f t="shared" si="3"/>
        <v>110.82500000000002</v>
      </c>
      <c r="N22" s="429">
        <f t="shared" si="3"/>
        <v>120.9</v>
      </c>
      <c r="O22" s="429">
        <f t="shared" si="3"/>
        <v>130.97500000000002</v>
      </c>
      <c r="P22" s="429">
        <f t="shared" si="3"/>
        <v>141.05000000000001</v>
      </c>
      <c r="Q22" s="429">
        <f t="shared" si="3"/>
        <v>141.05000000000001</v>
      </c>
      <c r="R22" s="429">
        <f t="shared" si="3"/>
        <v>141.05000000000001</v>
      </c>
      <c r="S22" s="429">
        <f t="shared" si="3"/>
        <v>80.600000000000009</v>
      </c>
      <c r="T22" s="429">
        <f t="shared" si="3"/>
        <v>161.20000000000002</v>
      </c>
      <c r="U22" s="429">
        <f t="shared" si="3"/>
        <v>161.20000000000002</v>
      </c>
      <c r="V22" s="429">
        <f t="shared" si="3"/>
        <v>161.20000000000002</v>
      </c>
      <c r="W22" s="429">
        <f t="shared" si="3"/>
        <v>80.600000000000009</v>
      </c>
      <c r="X22" s="430">
        <f t="shared" si="3"/>
        <v>120.9</v>
      </c>
      <c r="Y22" s="429">
        <f>Y21*$B$5</f>
        <v>80.600000000000009</v>
      </c>
      <c r="Z22" s="90">
        <v>9</v>
      </c>
      <c r="AF22" s="93"/>
      <c r="AG22" s="431" t="s">
        <v>134</v>
      </c>
      <c r="AH22" s="432">
        <f>HLOOKUP($AH$20,$B$14:$Z$67,Z36,FALSE)</f>
        <v>3.5</v>
      </c>
      <c r="AI22" s="105"/>
      <c r="AJ22" s="87"/>
    </row>
    <row r="23" spans="1:37" s="11" customFormat="1" ht="12" x14ac:dyDescent="0.2">
      <c r="A23" s="427" t="s">
        <v>135</v>
      </c>
      <c r="B23" s="433">
        <f t="shared" ref="B23:Y23" si="4">$B$9</f>
        <v>13</v>
      </c>
      <c r="C23" s="433">
        <f t="shared" si="4"/>
        <v>13</v>
      </c>
      <c r="D23" s="433">
        <f t="shared" si="4"/>
        <v>13</v>
      </c>
      <c r="E23" s="433">
        <f t="shared" si="4"/>
        <v>13</v>
      </c>
      <c r="F23" s="433">
        <f t="shared" si="4"/>
        <v>13</v>
      </c>
      <c r="G23" s="433">
        <f t="shared" si="4"/>
        <v>13</v>
      </c>
      <c r="H23" s="433">
        <f t="shared" si="4"/>
        <v>13</v>
      </c>
      <c r="I23" s="433">
        <f t="shared" si="4"/>
        <v>13</v>
      </c>
      <c r="J23" s="433">
        <f t="shared" si="4"/>
        <v>13</v>
      </c>
      <c r="K23" s="433">
        <f t="shared" si="4"/>
        <v>13</v>
      </c>
      <c r="L23" s="433">
        <f t="shared" si="4"/>
        <v>13</v>
      </c>
      <c r="M23" s="433">
        <f t="shared" si="4"/>
        <v>13</v>
      </c>
      <c r="N23" s="433">
        <f t="shared" si="4"/>
        <v>13</v>
      </c>
      <c r="O23" s="433">
        <f t="shared" si="4"/>
        <v>13</v>
      </c>
      <c r="P23" s="433">
        <f t="shared" si="4"/>
        <v>13</v>
      </c>
      <c r="Q23" s="433">
        <f t="shared" si="4"/>
        <v>13</v>
      </c>
      <c r="R23" s="433">
        <f t="shared" si="4"/>
        <v>13</v>
      </c>
      <c r="S23" s="433">
        <f t="shared" si="4"/>
        <v>13</v>
      </c>
      <c r="T23" s="433">
        <f t="shared" si="4"/>
        <v>13</v>
      </c>
      <c r="U23" s="433">
        <f t="shared" si="4"/>
        <v>13</v>
      </c>
      <c r="V23" s="433">
        <f t="shared" si="4"/>
        <v>13</v>
      </c>
      <c r="W23" s="433">
        <f t="shared" si="4"/>
        <v>13</v>
      </c>
      <c r="X23" s="434">
        <f t="shared" si="4"/>
        <v>13</v>
      </c>
      <c r="Y23" s="433">
        <f t="shared" si="4"/>
        <v>13</v>
      </c>
      <c r="Z23" s="90">
        <v>10</v>
      </c>
      <c r="AF23" s="93"/>
      <c r="AG23" s="431" t="s">
        <v>136</v>
      </c>
      <c r="AH23" s="432">
        <f>IF(HLOOKUP($AH$20,$B$14:$Z$67,Z50,FALSE)/HLOOKUP($AH$20,$B$14:$Z$67,Z35,FALSE)&lt;3,ROUND(HLOOKUP($AH$20,$B$14:$Z$67,Z50,FALSE)/HLOOKUP($AH$20,$B$14:$Z$67,Z35,FALSE),0),3)</f>
        <v>0</v>
      </c>
      <c r="AI23" s="96"/>
      <c r="AJ23" s="87"/>
    </row>
    <row r="24" spans="1:37" s="11" customFormat="1" ht="12" x14ac:dyDescent="0.2">
      <c r="A24" s="427" t="s">
        <v>137</v>
      </c>
      <c r="B24" s="433">
        <f t="shared" ref="B24:Y24" si="5">IF(ISBLANK(B120),0,$B$10)</f>
        <v>0</v>
      </c>
      <c r="C24" s="433">
        <f t="shared" si="5"/>
        <v>0</v>
      </c>
      <c r="D24" s="433">
        <f t="shared" si="5"/>
        <v>0</v>
      </c>
      <c r="E24" s="433">
        <f t="shared" si="5"/>
        <v>0</v>
      </c>
      <c r="F24" s="433">
        <f t="shared" si="5"/>
        <v>0</v>
      </c>
      <c r="G24" s="433">
        <f t="shared" si="5"/>
        <v>0</v>
      </c>
      <c r="H24" s="433">
        <f t="shared" si="5"/>
        <v>0</v>
      </c>
      <c r="I24" s="433">
        <f t="shared" si="5"/>
        <v>0</v>
      </c>
      <c r="J24" s="433">
        <f t="shared" si="5"/>
        <v>0</v>
      </c>
      <c r="K24" s="433">
        <f t="shared" si="5"/>
        <v>0</v>
      </c>
      <c r="L24" s="433">
        <f t="shared" si="5"/>
        <v>0</v>
      </c>
      <c r="M24" s="433">
        <f t="shared" si="5"/>
        <v>0</v>
      </c>
      <c r="N24" s="433">
        <f t="shared" si="5"/>
        <v>0</v>
      </c>
      <c r="O24" s="433">
        <f t="shared" si="5"/>
        <v>0</v>
      </c>
      <c r="P24" s="433">
        <f t="shared" si="5"/>
        <v>0</v>
      </c>
      <c r="Q24" s="433">
        <f t="shared" si="5"/>
        <v>0</v>
      </c>
      <c r="R24" s="433">
        <f t="shared" si="5"/>
        <v>0</v>
      </c>
      <c r="S24" s="433">
        <f t="shared" si="5"/>
        <v>0</v>
      </c>
      <c r="T24" s="433">
        <f t="shared" si="5"/>
        <v>35.1</v>
      </c>
      <c r="U24" s="433">
        <f t="shared" si="5"/>
        <v>35.1</v>
      </c>
      <c r="V24" s="433">
        <f t="shared" si="5"/>
        <v>35.1</v>
      </c>
      <c r="W24" s="433">
        <f t="shared" si="5"/>
        <v>0</v>
      </c>
      <c r="X24" s="434">
        <f t="shared" si="5"/>
        <v>0</v>
      </c>
      <c r="Y24" s="433">
        <f t="shared" si="5"/>
        <v>0</v>
      </c>
      <c r="Z24" s="92">
        <v>11</v>
      </c>
      <c r="AF24" s="93"/>
      <c r="AG24" s="99" t="s">
        <v>138</v>
      </c>
      <c r="AI24" s="34"/>
      <c r="AJ24" s="87"/>
    </row>
    <row r="25" spans="1:37" s="11" customFormat="1" ht="12" x14ac:dyDescent="0.2">
      <c r="A25" s="427" t="s">
        <v>139</v>
      </c>
      <c r="B25" s="429">
        <f t="shared" ref="B25:Y25" si="6">B21*$B$5+SUM(B23:B24)</f>
        <v>93.600000000000009</v>
      </c>
      <c r="C25" s="429">
        <f t="shared" si="6"/>
        <v>113.75</v>
      </c>
      <c r="D25" s="429">
        <f t="shared" si="6"/>
        <v>113.75</v>
      </c>
      <c r="E25" s="429">
        <f t="shared" si="6"/>
        <v>123.82500000000002</v>
      </c>
      <c r="F25" s="429">
        <f>F21*$B$5+SUM(F23:F24)</f>
        <v>143.97500000000002</v>
      </c>
      <c r="G25" s="429">
        <f t="shared" si="6"/>
        <v>123.82500000000002</v>
      </c>
      <c r="H25" s="429">
        <f t="shared" si="6"/>
        <v>123.82500000000002</v>
      </c>
      <c r="I25" s="429">
        <f t="shared" si="6"/>
        <v>143.97500000000002</v>
      </c>
      <c r="J25" s="429">
        <f t="shared" si="6"/>
        <v>123.82500000000002</v>
      </c>
      <c r="K25" s="429">
        <f t="shared" si="6"/>
        <v>123.82500000000002</v>
      </c>
      <c r="L25" s="429">
        <f t="shared" si="6"/>
        <v>143.97500000000002</v>
      </c>
      <c r="M25" s="429">
        <f t="shared" si="6"/>
        <v>123.82500000000002</v>
      </c>
      <c r="N25" s="429">
        <f t="shared" si="6"/>
        <v>133.9</v>
      </c>
      <c r="O25" s="429">
        <f t="shared" si="6"/>
        <v>143.97500000000002</v>
      </c>
      <c r="P25" s="429">
        <f t="shared" si="6"/>
        <v>154.05000000000001</v>
      </c>
      <c r="Q25" s="429">
        <f t="shared" ref="Q25:U25" si="7">Q21*$B$5+SUM(Q23:Q24)</f>
        <v>154.05000000000001</v>
      </c>
      <c r="R25" s="429">
        <f t="shared" si="7"/>
        <v>154.05000000000001</v>
      </c>
      <c r="S25" s="429">
        <f t="shared" si="7"/>
        <v>93.600000000000009</v>
      </c>
      <c r="T25" s="429">
        <f t="shared" si="7"/>
        <v>209.3</v>
      </c>
      <c r="U25" s="429">
        <f t="shared" si="7"/>
        <v>209.3</v>
      </c>
      <c r="V25" s="429">
        <f t="shared" si="6"/>
        <v>209.3</v>
      </c>
      <c r="W25" s="429">
        <f t="shared" si="6"/>
        <v>93.600000000000009</v>
      </c>
      <c r="X25" s="430">
        <f t="shared" si="6"/>
        <v>133.9</v>
      </c>
      <c r="Y25" s="429">
        <f t="shared" si="6"/>
        <v>93.600000000000009</v>
      </c>
      <c r="Z25" s="90">
        <v>12</v>
      </c>
      <c r="AF25" s="93"/>
      <c r="AG25" s="87" t="s">
        <v>140</v>
      </c>
      <c r="AH25" s="106"/>
      <c r="AI25" s="34"/>
      <c r="AJ25" s="87"/>
    </row>
    <row r="26" spans="1:37" s="11" customFormat="1" ht="12" x14ac:dyDescent="0.2">
      <c r="A26" s="12" t="s">
        <v>141</v>
      </c>
      <c r="B26" s="13">
        <f t="shared" ref="B26:Y26" si="8">-IF(ISBLANK(B119),0,ROUND(MIN(B$22*$H$10,B$22-$B$7*$H$9),1))</f>
        <v>0</v>
      </c>
      <c r="C26" s="13">
        <f t="shared" si="8"/>
        <v>-20.2</v>
      </c>
      <c r="D26" s="13">
        <f t="shared" si="8"/>
        <v>-20.2</v>
      </c>
      <c r="E26" s="13">
        <f t="shared" si="8"/>
        <v>-29.6</v>
      </c>
      <c r="F26" s="13">
        <f t="shared" si="8"/>
        <v>0</v>
      </c>
      <c r="G26" s="13">
        <f t="shared" si="8"/>
        <v>-29.6</v>
      </c>
      <c r="H26" s="13">
        <f t="shared" si="8"/>
        <v>-29.6</v>
      </c>
      <c r="I26" s="13">
        <f t="shared" si="8"/>
        <v>0</v>
      </c>
      <c r="J26" s="13">
        <f t="shared" si="8"/>
        <v>-29.6</v>
      </c>
      <c r="K26" s="13">
        <f t="shared" si="8"/>
        <v>-29.6</v>
      </c>
      <c r="L26" s="13">
        <f t="shared" si="8"/>
        <v>0</v>
      </c>
      <c r="M26" s="13">
        <f t="shared" si="8"/>
        <v>-29.6</v>
      </c>
      <c r="N26" s="13">
        <f t="shared" si="8"/>
        <v>-32.299999999999997</v>
      </c>
      <c r="O26" s="13">
        <f t="shared" si="8"/>
        <v>0</v>
      </c>
      <c r="P26" s="13">
        <f t="shared" si="8"/>
        <v>-37.700000000000003</v>
      </c>
      <c r="Q26" s="13">
        <f t="shared" si="8"/>
        <v>-37.700000000000003</v>
      </c>
      <c r="R26" s="13">
        <f t="shared" si="8"/>
        <v>-37.700000000000003</v>
      </c>
      <c r="S26" s="13">
        <f t="shared" si="8"/>
        <v>0</v>
      </c>
      <c r="T26" s="13">
        <f t="shared" si="8"/>
        <v>0</v>
      </c>
      <c r="U26" s="13">
        <f t="shared" si="8"/>
        <v>0</v>
      </c>
      <c r="V26" s="13">
        <f t="shared" si="8"/>
        <v>0</v>
      </c>
      <c r="W26" s="13">
        <f t="shared" si="8"/>
        <v>0</v>
      </c>
      <c r="X26" s="81">
        <f t="shared" si="8"/>
        <v>-32.299999999999997</v>
      </c>
      <c r="Y26" s="429">
        <f t="shared" si="8"/>
        <v>0</v>
      </c>
      <c r="Z26" s="90">
        <v>13</v>
      </c>
      <c r="AF26" s="93"/>
      <c r="AG26" s="87" t="s">
        <v>142</v>
      </c>
      <c r="AH26" s="106"/>
      <c r="AI26" s="34"/>
      <c r="AJ26" s="87"/>
    </row>
    <row r="27" spans="1:37" s="11" customFormat="1" ht="12" x14ac:dyDescent="0.2">
      <c r="A27" s="427" t="s">
        <v>143</v>
      </c>
      <c r="B27" s="13">
        <f>SUM(B25:B26)</f>
        <v>93.600000000000009</v>
      </c>
      <c r="C27" s="13">
        <f t="shared" ref="C27:Y27" si="9">SUM(C25:C26)</f>
        <v>93.55</v>
      </c>
      <c r="D27" s="13">
        <f t="shared" si="9"/>
        <v>93.55</v>
      </c>
      <c r="E27" s="13">
        <f t="shared" si="9"/>
        <v>94.225000000000023</v>
      </c>
      <c r="F27" s="13">
        <f>SUM(F25:F26)</f>
        <v>143.97500000000002</v>
      </c>
      <c r="G27" s="13">
        <f t="shared" si="9"/>
        <v>94.225000000000023</v>
      </c>
      <c r="H27" s="13">
        <f t="shared" si="9"/>
        <v>94.225000000000023</v>
      </c>
      <c r="I27" s="13">
        <f t="shared" si="9"/>
        <v>143.97500000000002</v>
      </c>
      <c r="J27" s="13">
        <f t="shared" si="9"/>
        <v>94.225000000000023</v>
      </c>
      <c r="K27" s="13">
        <f t="shared" si="9"/>
        <v>94.225000000000023</v>
      </c>
      <c r="L27" s="13">
        <f t="shared" si="9"/>
        <v>143.97500000000002</v>
      </c>
      <c r="M27" s="13">
        <f t="shared" si="9"/>
        <v>94.225000000000023</v>
      </c>
      <c r="N27" s="13">
        <f t="shared" si="9"/>
        <v>101.60000000000001</v>
      </c>
      <c r="O27" s="13">
        <f t="shared" si="9"/>
        <v>143.97500000000002</v>
      </c>
      <c r="P27" s="13">
        <f t="shared" si="9"/>
        <v>116.35000000000001</v>
      </c>
      <c r="Q27" s="13">
        <f t="shared" si="9"/>
        <v>116.35000000000001</v>
      </c>
      <c r="R27" s="13">
        <f t="shared" si="9"/>
        <v>116.35000000000001</v>
      </c>
      <c r="S27" s="13">
        <f t="shared" si="9"/>
        <v>93.600000000000009</v>
      </c>
      <c r="T27" s="13">
        <f t="shared" si="9"/>
        <v>209.3</v>
      </c>
      <c r="U27" s="13">
        <f t="shared" si="9"/>
        <v>209.3</v>
      </c>
      <c r="V27" s="13">
        <f t="shared" si="9"/>
        <v>209.3</v>
      </c>
      <c r="W27" s="13">
        <f t="shared" si="9"/>
        <v>93.600000000000009</v>
      </c>
      <c r="X27" s="81">
        <f t="shared" si="9"/>
        <v>101.60000000000001</v>
      </c>
      <c r="Y27" s="429">
        <f t="shared" si="9"/>
        <v>93.600000000000009</v>
      </c>
      <c r="Z27" s="92">
        <v>14</v>
      </c>
      <c r="AF27" s="93"/>
      <c r="AG27" s="100"/>
      <c r="AH27" s="34"/>
      <c r="AI27" s="34"/>
      <c r="AJ27" s="87"/>
    </row>
    <row r="28" spans="1:37" s="11" customFormat="1" ht="12" x14ac:dyDescent="0.2">
      <c r="A28" s="12" t="s">
        <v>144</v>
      </c>
      <c r="B28" s="51">
        <f>AVERAGE(W22:X22,B22)</f>
        <v>94.033333333333346</v>
      </c>
      <c r="C28" s="51">
        <f>AVERAGE(X22,B22:C22)</f>
        <v>100.75</v>
      </c>
      <c r="D28" s="51">
        <f t="shared" ref="D28:Y28" si="10">AVERAGE(B22:D22)</f>
        <v>94.033333333333346</v>
      </c>
      <c r="E28" s="51">
        <f t="shared" si="10"/>
        <v>104.10833333333335</v>
      </c>
      <c r="F28" s="51">
        <f t="shared" si="10"/>
        <v>114.18333333333335</v>
      </c>
      <c r="G28" s="51">
        <f t="shared" si="10"/>
        <v>117.54166666666669</v>
      </c>
      <c r="H28" s="51">
        <f t="shared" si="10"/>
        <v>117.54166666666669</v>
      </c>
      <c r="I28" s="51">
        <f t="shared" si="10"/>
        <v>117.54166666666669</v>
      </c>
      <c r="J28" s="51">
        <f t="shared" si="10"/>
        <v>117.54166666666669</v>
      </c>
      <c r="K28" s="51">
        <f t="shared" si="10"/>
        <v>117.54166666666669</v>
      </c>
      <c r="L28" s="51">
        <f t="shared" si="10"/>
        <v>117.54166666666669</v>
      </c>
      <c r="M28" s="51">
        <f t="shared" si="10"/>
        <v>117.54166666666669</v>
      </c>
      <c r="N28" s="51">
        <f t="shared" si="10"/>
        <v>120.90000000000002</v>
      </c>
      <c r="O28" s="51">
        <f t="shared" si="10"/>
        <v>120.90000000000002</v>
      </c>
      <c r="P28" s="51">
        <f t="shared" si="10"/>
        <v>130.97500000000002</v>
      </c>
      <c r="Q28" s="51">
        <f>AVERAGE(N22:Q22)</f>
        <v>133.49375000000003</v>
      </c>
      <c r="R28" s="51">
        <f>AVERAGE(N22:R22)</f>
        <v>135.00500000000002</v>
      </c>
      <c r="S28" s="51">
        <f>AVERAGE(N22:S22)</f>
        <v>125.93750000000001</v>
      </c>
      <c r="T28" s="51">
        <f>AVERAGE(N22:T22)</f>
        <v>130.97500000000002</v>
      </c>
      <c r="U28" s="51">
        <f>AVERAGE(N22:U22)</f>
        <v>134.75312500000001</v>
      </c>
      <c r="V28" s="51">
        <f>AVERAGE(O22:V22)</f>
        <v>139.79062500000001</v>
      </c>
      <c r="W28" s="51">
        <f>AVERAGE(P22:W22)</f>
        <v>133.49375000000001</v>
      </c>
      <c r="X28" s="324">
        <f t="shared" si="10"/>
        <v>120.90000000000002</v>
      </c>
      <c r="Y28" s="429">
        <f t="shared" si="10"/>
        <v>94.033333333333346</v>
      </c>
      <c r="Z28" s="90">
        <v>15</v>
      </c>
      <c r="AF28" s="93"/>
      <c r="AG28" s="630" t="s">
        <v>145</v>
      </c>
      <c r="AH28" s="631"/>
      <c r="AI28" s="435" t="s">
        <v>146</v>
      </c>
      <c r="AJ28" s="87"/>
    </row>
    <row r="29" spans="1:37" s="11" customFormat="1" ht="12" x14ac:dyDescent="0.2">
      <c r="A29" s="151" t="s">
        <v>147</v>
      </c>
      <c r="B29" s="430"/>
      <c r="C29" s="156"/>
      <c r="D29" s="156"/>
      <c r="E29" s="156"/>
      <c r="F29" s="156"/>
      <c r="G29" s="156"/>
      <c r="H29" s="156"/>
      <c r="I29" s="156"/>
      <c r="J29" s="156"/>
      <c r="K29" s="156"/>
      <c r="L29" s="156"/>
      <c r="M29" s="156"/>
      <c r="N29" s="156"/>
      <c r="O29" s="156"/>
      <c r="P29" s="156"/>
      <c r="Q29" s="156"/>
      <c r="R29" s="156"/>
      <c r="S29" s="156"/>
      <c r="T29" s="156"/>
      <c r="U29" s="156"/>
      <c r="V29" s="156"/>
      <c r="W29" s="156"/>
      <c r="X29" s="156"/>
      <c r="Y29" s="429"/>
      <c r="Z29" s="90">
        <v>16</v>
      </c>
      <c r="AF29" s="107" t="s">
        <v>148</v>
      </c>
      <c r="AG29" s="436" t="s">
        <v>149</v>
      </c>
      <c r="AH29" s="437">
        <f>HLOOKUP($AH$20,$B$14:$Z$67,Z50,FALSE)</f>
        <v>0</v>
      </c>
      <c r="AI29" s="437"/>
      <c r="AJ29" s="87"/>
    </row>
    <row r="30" spans="1:37" s="11" customFormat="1" ht="12" x14ac:dyDescent="0.2">
      <c r="A30" s="12" t="s">
        <v>150</v>
      </c>
      <c r="B30" s="13">
        <f t="shared" ref="B30:Y30" si="11">IF(ISBLANK(B119),0,$B$11)</f>
        <v>13</v>
      </c>
      <c r="C30" s="13">
        <f t="shared" si="11"/>
        <v>13</v>
      </c>
      <c r="D30" s="13">
        <f t="shared" si="11"/>
        <v>13</v>
      </c>
      <c r="E30" s="13">
        <f t="shared" si="11"/>
        <v>13</v>
      </c>
      <c r="F30" s="13">
        <f t="shared" si="11"/>
        <v>0</v>
      </c>
      <c r="G30" s="13">
        <f t="shared" si="11"/>
        <v>13</v>
      </c>
      <c r="H30" s="13">
        <f t="shared" si="11"/>
        <v>13</v>
      </c>
      <c r="I30" s="13">
        <f t="shared" si="11"/>
        <v>0</v>
      </c>
      <c r="J30" s="13">
        <f t="shared" si="11"/>
        <v>13</v>
      </c>
      <c r="K30" s="13">
        <f t="shared" si="11"/>
        <v>13</v>
      </c>
      <c r="L30" s="13">
        <f t="shared" si="11"/>
        <v>0</v>
      </c>
      <c r="M30" s="13">
        <f t="shared" si="11"/>
        <v>13</v>
      </c>
      <c r="N30" s="13">
        <f t="shared" si="11"/>
        <v>13</v>
      </c>
      <c r="O30" s="13">
        <f t="shared" si="11"/>
        <v>0</v>
      </c>
      <c r="P30" s="13">
        <f t="shared" si="11"/>
        <v>13</v>
      </c>
      <c r="Q30" s="13">
        <f t="shared" si="11"/>
        <v>13</v>
      </c>
      <c r="R30" s="13">
        <f t="shared" si="11"/>
        <v>13</v>
      </c>
      <c r="S30" s="13">
        <f t="shared" si="11"/>
        <v>0</v>
      </c>
      <c r="T30" s="13">
        <f t="shared" si="11"/>
        <v>0</v>
      </c>
      <c r="U30" s="13">
        <f t="shared" si="11"/>
        <v>0</v>
      </c>
      <c r="V30" s="13">
        <f t="shared" si="11"/>
        <v>0</v>
      </c>
      <c r="W30" s="13">
        <f t="shared" si="11"/>
        <v>0</v>
      </c>
      <c r="X30" s="81">
        <f t="shared" si="11"/>
        <v>13</v>
      </c>
      <c r="Y30" s="429">
        <f t="shared" si="11"/>
        <v>13</v>
      </c>
      <c r="Z30" s="92">
        <v>17</v>
      </c>
      <c r="AF30" s="43"/>
      <c r="AG30" s="438">
        <v>15</v>
      </c>
      <c r="AH30" s="432">
        <f>IF(AH29-$AG30&lt;0,0,AH29-$AG30)</f>
        <v>0</v>
      </c>
      <c r="AI30" s="432">
        <f>IF(ISERROR(MAX(0,AH22-$AG30/AH23)),0,MAX(0,AH22-$AG30/AH23))</f>
        <v>0</v>
      </c>
      <c r="AJ30" s="87"/>
    </row>
    <row r="31" spans="1:37" s="11" customFormat="1" x14ac:dyDescent="0.2">
      <c r="A31" s="439" t="s">
        <v>151</v>
      </c>
      <c r="B31" s="440"/>
      <c r="C31" s="14"/>
      <c r="D31" s="14"/>
      <c r="E31" s="14"/>
      <c r="F31" s="14"/>
      <c r="G31" s="14"/>
      <c r="H31" s="14"/>
      <c r="I31" s="14"/>
      <c r="J31" s="14"/>
      <c r="K31" s="14"/>
      <c r="L31" s="14"/>
      <c r="M31" s="14"/>
      <c r="N31" s="14"/>
      <c r="O31" s="14"/>
      <c r="P31" s="14"/>
      <c r="Q31" s="14"/>
      <c r="R31" s="14"/>
      <c r="S31" s="14"/>
      <c r="T31" s="14"/>
      <c r="U31" s="14"/>
      <c r="V31" s="14"/>
      <c r="W31" s="14"/>
      <c r="X31" s="14"/>
      <c r="Y31" s="555"/>
      <c r="Z31" s="90">
        <v>18</v>
      </c>
      <c r="AF31" s="107" t="s">
        <v>152</v>
      </c>
      <c r="AG31" s="436" t="s">
        <v>149</v>
      </c>
      <c r="AH31" s="437">
        <f>HLOOKUP($AH$20,$B$14:$Z$67,Z52,FALSE)</f>
        <v>6</v>
      </c>
      <c r="AI31" s="437"/>
      <c r="AJ31" s="87"/>
      <c r="AK31" s="7"/>
    </row>
    <row r="32" spans="1:37" thickBot="1" x14ac:dyDescent="0.25">
      <c r="A32" s="412" t="s">
        <v>153</v>
      </c>
      <c r="B32" s="425">
        <v>0.7</v>
      </c>
      <c r="C32" s="425">
        <v>0.7</v>
      </c>
      <c r="D32" s="425">
        <v>0.7</v>
      </c>
      <c r="E32" s="425">
        <v>0.8</v>
      </c>
      <c r="F32" s="425">
        <v>0.8</v>
      </c>
      <c r="G32" s="425">
        <v>0.8</v>
      </c>
      <c r="H32" s="425">
        <v>0.8</v>
      </c>
      <c r="I32" s="425">
        <v>0.8</v>
      </c>
      <c r="J32" s="425">
        <v>0.8</v>
      </c>
      <c r="K32" s="425">
        <v>0.8</v>
      </c>
      <c r="L32" s="425">
        <v>0.8</v>
      </c>
      <c r="M32" s="425">
        <v>0.8</v>
      </c>
      <c r="N32" s="425">
        <v>0.9</v>
      </c>
      <c r="O32" s="425">
        <v>0.9</v>
      </c>
      <c r="P32" s="425">
        <v>0.9</v>
      </c>
      <c r="Q32" s="425">
        <v>1</v>
      </c>
      <c r="R32" s="425">
        <v>1</v>
      </c>
      <c r="S32" s="425">
        <v>1</v>
      </c>
      <c r="T32" s="425">
        <v>1</v>
      </c>
      <c r="U32" s="425">
        <v>1</v>
      </c>
      <c r="V32" s="425">
        <v>1</v>
      </c>
      <c r="W32" s="425">
        <v>1</v>
      </c>
      <c r="X32" s="424">
        <v>1</v>
      </c>
      <c r="Y32" s="425">
        <v>0.7</v>
      </c>
      <c r="Z32" s="90">
        <v>19</v>
      </c>
      <c r="AF32" s="34"/>
      <c r="AG32" s="441">
        <v>10</v>
      </c>
      <c r="AH32" s="442">
        <f>IF(AH31-$AG32&lt;0,0,AH31-$AG32)</f>
        <v>0</v>
      </c>
      <c r="AI32" s="442">
        <f>IF(ISERROR(MAX(0,AH22-$AG32/AH23)),0,MAX(0,AH22-$AG32/AH23))</f>
        <v>0</v>
      </c>
      <c r="AJ32" s="87"/>
      <c r="AK32" s="11"/>
    </row>
    <row r="33" spans="1:37" s="11" customFormat="1" ht="12" x14ac:dyDescent="0.2">
      <c r="A33" s="412" t="s">
        <v>154</v>
      </c>
      <c r="B33" s="446">
        <f>0.8*B32</f>
        <v>0.55999999999999994</v>
      </c>
      <c r="C33" s="446">
        <f t="shared" ref="C33:Y33" si="12">0.8*C32</f>
        <v>0.55999999999999994</v>
      </c>
      <c r="D33" s="446">
        <f t="shared" si="12"/>
        <v>0.55999999999999994</v>
      </c>
      <c r="E33" s="446">
        <f t="shared" si="12"/>
        <v>0.64000000000000012</v>
      </c>
      <c r="F33" s="446">
        <f t="shared" si="12"/>
        <v>0.64000000000000012</v>
      </c>
      <c r="G33" s="446">
        <f t="shared" si="12"/>
        <v>0.64000000000000012</v>
      </c>
      <c r="H33" s="446">
        <f t="shared" si="12"/>
        <v>0.64000000000000012</v>
      </c>
      <c r="I33" s="446">
        <f t="shared" si="12"/>
        <v>0.64000000000000012</v>
      </c>
      <c r="J33" s="446">
        <f t="shared" si="12"/>
        <v>0.64000000000000012</v>
      </c>
      <c r="K33" s="446">
        <f t="shared" si="12"/>
        <v>0.64000000000000012</v>
      </c>
      <c r="L33" s="446">
        <f t="shared" si="12"/>
        <v>0.64000000000000012</v>
      </c>
      <c r="M33" s="446">
        <f t="shared" si="12"/>
        <v>0.64000000000000012</v>
      </c>
      <c r="N33" s="446">
        <f t="shared" si="12"/>
        <v>0.72000000000000008</v>
      </c>
      <c r="O33" s="446">
        <f t="shared" si="12"/>
        <v>0.72000000000000008</v>
      </c>
      <c r="P33" s="446">
        <f t="shared" si="12"/>
        <v>0.72000000000000008</v>
      </c>
      <c r="Q33" s="446">
        <f t="shared" si="12"/>
        <v>0.8</v>
      </c>
      <c r="R33" s="446">
        <f t="shared" si="12"/>
        <v>0.8</v>
      </c>
      <c r="S33" s="446">
        <f t="shared" si="12"/>
        <v>0.8</v>
      </c>
      <c r="T33" s="446">
        <f t="shared" si="12"/>
        <v>0.8</v>
      </c>
      <c r="U33" s="446">
        <f t="shared" si="12"/>
        <v>0.8</v>
      </c>
      <c r="V33" s="446">
        <f t="shared" si="12"/>
        <v>0.8</v>
      </c>
      <c r="W33" s="446">
        <f t="shared" si="12"/>
        <v>0.8</v>
      </c>
      <c r="X33" s="556">
        <f t="shared" si="12"/>
        <v>0.8</v>
      </c>
      <c r="Y33" s="446">
        <f t="shared" si="12"/>
        <v>0.55999999999999994</v>
      </c>
      <c r="Z33" s="92">
        <v>20</v>
      </c>
      <c r="AF33" s="34"/>
      <c r="AG33" s="108" t="s">
        <v>155</v>
      </c>
      <c r="AH33" s="108" t="s">
        <v>156</v>
      </c>
      <c r="AI33" s="108" t="s">
        <v>157</v>
      </c>
      <c r="AJ33" s="87"/>
    </row>
    <row r="34" spans="1:37" s="11" customFormat="1" ht="12" x14ac:dyDescent="0.2">
      <c r="A34" s="445" t="s">
        <v>158</v>
      </c>
      <c r="B34" s="446">
        <f>((B36*$B$171)/$B$2)</f>
        <v>0.39641886204488064</v>
      </c>
      <c r="C34" s="446">
        <f t="shared" ref="C34:Y34" si="13">((C36*$B$171)/$B$2)</f>
        <v>0.4743473562930195</v>
      </c>
      <c r="D34" s="446">
        <f t="shared" si="13"/>
        <v>0.4743473562930195</v>
      </c>
      <c r="E34" s="446">
        <f t="shared" si="13"/>
        <v>0.54211126433487955</v>
      </c>
      <c r="F34" s="446">
        <f t="shared" si="13"/>
        <v>0.54211126433487955</v>
      </c>
      <c r="G34" s="446">
        <f t="shared" si="13"/>
        <v>0.54211126433487955</v>
      </c>
      <c r="H34" s="446">
        <f t="shared" si="13"/>
        <v>0.54211126433487955</v>
      </c>
      <c r="I34" s="446">
        <f t="shared" si="13"/>
        <v>0.54211126433487955</v>
      </c>
      <c r="J34" s="446">
        <f t="shared" si="13"/>
        <v>0.54211126433487955</v>
      </c>
      <c r="K34" s="446">
        <f t="shared" si="13"/>
        <v>0.54211126433487955</v>
      </c>
      <c r="L34" s="446">
        <f t="shared" si="13"/>
        <v>0.54211126433487955</v>
      </c>
      <c r="M34" s="446">
        <f t="shared" si="13"/>
        <v>0.54211126433487955</v>
      </c>
      <c r="N34" s="446">
        <f t="shared" si="13"/>
        <v>0.60987517237673949</v>
      </c>
      <c r="O34" s="446">
        <f t="shared" si="13"/>
        <v>0.60987517237673949</v>
      </c>
      <c r="P34" s="446">
        <f t="shared" si="13"/>
        <v>0.60987517237673949</v>
      </c>
      <c r="Q34" s="446">
        <f t="shared" si="13"/>
        <v>0.67763908041859933</v>
      </c>
      <c r="R34" s="446">
        <f t="shared" si="13"/>
        <v>0.67763908041859933</v>
      </c>
      <c r="S34" s="446">
        <f t="shared" si="13"/>
        <v>0.67763908041859933</v>
      </c>
      <c r="T34" s="446">
        <f t="shared" si="13"/>
        <v>0.67763908041859933</v>
      </c>
      <c r="U34" s="446">
        <f t="shared" si="13"/>
        <v>0.67763908041859933</v>
      </c>
      <c r="V34" s="446">
        <f t="shared" si="13"/>
        <v>0.67763908041859933</v>
      </c>
      <c r="W34" s="446">
        <f t="shared" si="13"/>
        <v>0.67763908041859933</v>
      </c>
      <c r="X34" s="446">
        <f t="shared" si="13"/>
        <v>0.39641886204488064</v>
      </c>
      <c r="Y34" s="446">
        <f t="shared" si="13"/>
        <v>0.4743473562930195</v>
      </c>
      <c r="Z34" s="92"/>
      <c r="AF34" s="43" t="s">
        <v>159</v>
      </c>
      <c r="AG34" s="447">
        <f>SUM(AG30,AG32)</f>
        <v>25</v>
      </c>
      <c r="AH34" s="447">
        <f>SUM(AH29,AH31)</f>
        <v>6</v>
      </c>
      <c r="AI34" s="447">
        <f>MAX(AI29:AI32)</f>
        <v>0</v>
      </c>
      <c r="AJ34" s="87"/>
    </row>
    <row r="35" spans="1:37" s="11" customFormat="1" ht="12" x14ac:dyDescent="0.2">
      <c r="A35" s="567" t="s">
        <v>160</v>
      </c>
      <c r="B35" s="448">
        <f t="shared" ref="B35:Y35" si="14">ROUND($B$2*B$32,2)</f>
        <v>3.5</v>
      </c>
      <c r="C35" s="448">
        <f t="shared" si="14"/>
        <v>3.5</v>
      </c>
      <c r="D35" s="448">
        <f t="shared" si="14"/>
        <v>3.5</v>
      </c>
      <c r="E35" s="448">
        <f t="shared" si="14"/>
        <v>4</v>
      </c>
      <c r="F35" s="448">
        <f t="shared" si="14"/>
        <v>4</v>
      </c>
      <c r="G35" s="448">
        <f t="shared" si="14"/>
        <v>4</v>
      </c>
      <c r="H35" s="448">
        <f t="shared" si="14"/>
        <v>4</v>
      </c>
      <c r="I35" s="448">
        <f t="shared" si="14"/>
        <v>4</v>
      </c>
      <c r="J35" s="448">
        <f t="shared" si="14"/>
        <v>4</v>
      </c>
      <c r="K35" s="448">
        <f t="shared" si="14"/>
        <v>4</v>
      </c>
      <c r="L35" s="448">
        <f t="shared" si="14"/>
        <v>4</v>
      </c>
      <c r="M35" s="448">
        <f t="shared" si="14"/>
        <v>4</v>
      </c>
      <c r="N35" s="448">
        <f t="shared" si="14"/>
        <v>4.5</v>
      </c>
      <c r="O35" s="448">
        <f t="shared" si="14"/>
        <v>4.5</v>
      </c>
      <c r="P35" s="448">
        <f t="shared" si="14"/>
        <v>4.5</v>
      </c>
      <c r="Q35" s="448">
        <f t="shared" si="14"/>
        <v>5</v>
      </c>
      <c r="R35" s="448">
        <f t="shared" si="14"/>
        <v>5</v>
      </c>
      <c r="S35" s="448">
        <f t="shared" si="14"/>
        <v>5</v>
      </c>
      <c r="T35" s="448">
        <f t="shared" si="14"/>
        <v>5</v>
      </c>
      <c r="U35" s="448">
        <f t="shared" si="14"/>
        <v>5</v>
      </c>
      <c r="V35" s="448">
        <f t="shared" si="14"/>
        <v>5</v>
      </c>
      <c r="W35" s="448">
        <f t="shared" si="14"/>
        <v>5</v>
      </c>
      <c r="X35" s="449">
        <f t="shared" si="14"/>
        <v>5</v>
      </c>
      <c r="Y35" s="448">
        <f t="shared" si="14"/>
        <v>3.5</v>
      </c>
      <c r="Z35" s="90">
        <v>21</v>
      </c>
      <c r="AF35" s="43"/>
      <c r="AG35" s="34"/>
      <c r="AH35" s="34"/>
      <c r="AI35" s="34"/>
      <c r="AJ35" s="87"/>
    </row>
    <row r="36" spans="1:37" s="11" customFormat="1" ht="12" x14ac:dyDescent="0.2">
      <c r="A36" s="567" t="s">
        <v>134</v>
      </c>
      <c r="B36" s="568">
        <v>2.34</v>
      </c>
      <c r="C36" s="568">
        <f t="shared" ref="C36:W36" si="15">ROUND($B$2*C$33,2)</f>
        <v>2.8</v>
      </c>
      <c r="D36" s="568">
        <f t="shared" si="15"/>
        <v>2.8</v>
      </c>
      <c r="E36" s="568">
        <f t="shared" si="15"/>
        <v>3.2</v>
      </c>
      <c r="F36" s="568">
        <f t="shared" si="15"/>
        <v>3.2</v>
      </c>
      <c r="G36" s="568">
        <f t="shared" si="15"/>
        <v>3.2</v>
      </c>
      <c r="H36" s="568">
        <f t="shared" si="15"/>
        <v>3.2</v>
      </c>
      <c r="I36" s="568">
        <f t="shared" si="15"/>
        <v>3.2</v>
      </c>
      <c r="J36" s="568">
        <f t="shared" si="15"/>
        <v>3.2</v>
      </c>
      <c r="K36" s="568">
        <f t="shared" si="15"/>
        <v>3.2</v>
      </c>
      <c r="L36" s="568">
        <f t="shared" si="15"/>
        <v>3.2</v>
      </c>
      <c r="M36" s="568">
        <f t="shared" si="15"/>
        <v>3.2</v>
      </c>
      <c r="N36" s="568">
        <f t="shared" si="15"/>
        <v>3.6</v>
      </c>
      <c r="O36" s="568">
        <f t="shared" si="15"/>
        <v>3.6</v>
      </c>
      <c r="P36" s="568">
        <f t="shared" si="15"/>
        <v>3.6</v>
      </c>
      <c r="Q36" s="568">
        <f t="shared" si="15"/>
        <v>4</v>
      </c>
      <c r="R36" s="568">
        <f t="shared" si="15"/>
        <v>4</v>
      </c>
      <c r="S36" s="568">
        <f t="shared" si="15"/>
        <v>4</v>
      </c>
      <c r="T36" s="568">
        <f t="shared" si="15"/>
        <v>4</v>
      </c>
      <c r="U36" s="568">
        <f t="shared" si="15"/>
        <v>4</v>
      </c>
      <c r="V36" s="568">
        <f t="shared" si="15"/>
        <v>4</v>
      </c>
      <c r="W36" s="568">
        <f t="shared" si="15"/>
        <v>4</v>
      </c>
      <c r="X36" s="325">
        <v>2.34</v>
      </c>
      <c r="Y36" s="448">
        <f>ROUND($B$2*Y$33,2)</f>
        <v>2.8</v>
      </c>
      <c r="Z36" s="90">
        <v>22</v>
      </c>
      <c r="AG36" s="106" t="s">
        <v>270</v>
      </c>
      <c r="AH36" s="34"/>
      <c r="AI36" s="34"/>
    </row>
    <row r="37" spans="1:37" s="11" customFormat="1" ht="12" x14ac:dyDescent="0.2">
      <c r="A37" s="569" t="s">
        <v>162</v>
      </c>
      <c r="B37" s="451">
        <f>B34*$B$2</f>
        <v>1.9820943102244031</v>
      </c>
      <c r="C37" s="451">
        <f t="shared" ref="C37:Y37" si="16">C34*$B$2</f>
        <v>2.3717367814650974</v>
      </c>
      <c r="D37" s="451">
        <f t="shared" si="16"/>
        <v>2.3717367814650974</v>
      </c>
      <c r="E37" s="451">
        <f t="shared" si="16"/>
        <v>2.7105563216743978</v>
      </c>
      <c r="F37" s="451">
        <f t="shared" si="16"/>
        <v>2.7105563216743978</v>
      </c>
      <c r="G37" s="451">
        <f t="shared" si="16"/>
        <v>2.7105563216743978</v>
      </c>
      <c r="H37" s="451">
        <f t="shared" si="16"/>
        <v>2.7105563216743978</v>
      </c>
      <c r="I37" s="451">
        <f t="shared" si="16"/>
        <v>2.7105563216743978</v>
      </c>
      <c r="J37" s="451">
        <f t="shared" si="16"/>
        <v>2.7105563216743978</v>
      </c>
      <c r="K37" s="451">
        <f t="shared" si="16"/>
        <v>2.7105563216743978</v>
      </c>
      <c r="L37" s="451">
        <f t="shared" si="16"/>
        <v>2.7105563216743978</v>
      </c>
      <c r="M37" s="451">
        <f t="shared" si="16"/>
        <v>2.7105563216743978</v>
      </c>
      <c r="N37" s="451">
        <f t="shared" si="16"/>
        <v>3.0493758618836972</v>
      </c>
      <c r="O37" s="451">
        <f t="shared" si="16"/>
        <v>3.0493758618836972</v>
      </c>
      <c r="P37" s="451">
        <f t="shared" si="16"/>
        <v>3.0493758618836972</v>
      </c>
      <c r="Q37" s="451">
        <f t="shared" si="16"/>
        <v>3.3881954020929967</v>
      </c>
      <c r="R37" s="451">
        <f t="shared" si="16"/>
        <v>3.3881954020929967</v>
      </c>
      <c r="S37" s="451">
        <f t="shared" si="16"/>
        <v>3.3881954020929967</v>
      </c>
      <c r="T37" s="451">
        <f t="shared" si="16"/>
        <v>3.3881954020929967</v>
      </c>
      <c r="U37" s="451">
        <f t="shared" si="16"/>
        <v>3.3881954020929967</v>
      </c>
      <c r="V37" s="451">
        <f t="shared" si="16"/>
        <v>3.3881954020929967</v>
      </c>
      <c r="W37" s="451">
        <f t="shared" si="16"/>
        <v>3.3881954020929967</v>
      </c>
      <c r="X37" s="451">
        <f t="shared" si="16"/>
        <v>1.9820943102244031</v>
      </c>
      <c r="Y37" s="451">
        <f t="shared" si="16"/>
        <v>2.3717367814650974</v>
      </c>
      <c r="Z37" s="90"/>
      <c r="AG37" s="34"/>
      <c r="AH37" s="34"/>
      <c r="AI37" s="34"/>
    </row>
    <row r="38" spans="1:37" s="11" customFormat="1" ht="12" x14ac:dyDescent="0.2">
      <c r="A38" s="570" t="s">
        <v>163</v>
      </c>
      <c r="B38" s="453"/>
      <c r="C38" s="350"/>
      <c r="D38" s="350"/>
      <c r="E38" s="350"/>
      <c r="F38" s="350"/>
      <c r="G38" s="350"/>
      <c r="H38" s="350"/>
      <c r="I38" s="350"/>
      <c r="J38" s="350"/>
      <c r="K38" s="350"/>
      <c r="L38" s="350"/>
      <c r="M38" s="350"/>
      <c r="N38" s="350"/>
      <c r="O38" s="350"/>
      <c r="P38" s="350"/>
      <c r="Q38" s="350"/>
      <c r="R38" s="350"/>
      <c r="S38" s="350"/>
      <c r="T38" s="350"/>
      <c r="U38" s="350"/>
      <c r="V38" s="350"/>
      <c r="W38" s="350"/>
      <c r="X38" s="350"/>
      <c r="Y38" s="456"/>
      <c r="Z38" s="92">
        <v>23</v>
      </c>
      <c r="AF38" s="34"/>
      <c r="AG38" s="630" t="s">
        <v>164</v>
      </c>
      <c r="AH38" s="631"/>
      <c r="AI38" s="435" t="s">
        <v>146</v>
      </c>
      <c r="AJ38" s="87"/>
      <c r="AK38" s="7"/>
    </row>
    <row r="39" spans="1:37" ht="12" x14ac:dyDescent="0.2">
      <c r="A39" s="455" t="s">
        <v>165</v>
      </c>
      <c r="B39" s="456">
        <f t="shared" ref="B39:Y39" si="17">IF($B172&gt;=0.9, B$36,B$36*$B172)</f>
        <v>0.53270967279760728</v>
      </c>
      <c r="C39" s="456">
        <f t="shared" si="17"/>
        <v>0.63743037770653865</v>
      </c>
      <c r="D39" s="456">
        <f t="shared" si="17"/>
        <v>0.63743037770653865</v>
      </c>
      <c r="E39" s="456">
        <f t="shared" si="17"/>
        <v>0.72849186023604418</v>
      </c>
      <c r="F39" s="456">
        <f t="shared" si="17"/>
        <v>0.72849186023604418</v>
      </c>
      <c r="G39" s="456">
        <f t="shared" si="17"/>
        <v>0.72849186023604418</v>
      </c>
      <c r="H39" s="456">
        <f t="shared" si="17"/>
        <v>0.72849186023604418</v>
      </c>
      <c r="I39" s="456">
        <f t="shared" si="17"/>
        <v>0.72849186023604418</v>
      </c>
      <c r="J39" s="456">
        <f t="shared" si="17"/>
        <v>0.72849186023604418</v>
      </c>
      <c r="K39" s="456">
        <f t="shared" si="17"/>
        <v>0.72849186023604418</v>
      </c>
      <c r="L39" s="456">
        <f t="shared" si="17"/>
        <v>0.72849186023604418</v>
      </c>
      <c r="M39" s="456">
        <f t="shared" si="17"/>
        <v>0.72849186023604418</v>
      </c>
      <c r="N39" s="456">
        <f t="shared" si="17"/>
        <v>0.8195533427655497</v>
      </c>
      <c r="O39" s="456">
        <f t="shared" si="17"/>
        <v>0.8195533427655497</v>
      </c>
      <c r="P39" s="456">
        <f t="shared" si="17"/>
        <v>0.8195533427655497</v>
      </c>
      <c r="Q39" s="456">
        <f t="shared" si="17"/>
        <v>0.91061482529505522</v>
      </c>
      <c r="R39" s="456">
        <f t="shared" si="17"/>
        <v>0.91061482529505522</v>
      </c>
      <c r="S39" s="456">
        <f t="shared" si="17"/>
        <v>0.91061482529505522</v>
      </c>
      <c r="T39" s="456">
        <f t="shared" si="17"/>
        <v>0.91061482529505522</v>
      </c>
      <c r="U39" s="456">
        <f t="shared" si="17"/>
        <v>0.91061482529505522</v>
      </c>
      <c r="V39" s="456">
        <f t="shared" si="17"/>
        <v>0.91061482529505522</v>
      </c>
      <c r="W39" s="456">
        <f t="shared" si="17"/>
        <v>0.91061482529505522</v>
      </c>
      <c r="X39" s="453">
        <f t="shared" si="17"/>
        <v>0.53270967279760728</v>
      </c>
      <c r="Y39" s="456">
        <f t="shared" si="17"/>
        <v>0.63743037770653865</v>
      </c>
      <c r="Z39" s="90">
        <v>24</v>
      </c>
      <c r="AA39" s="11"/>
      <c r="AB39" s="11"/>
      <c r="AC39" s="11"/>
      <c r="AD39" s="11"/>
      <c r="AE39" s="11"/>
      <c r="AF39" s="34"/>
      <c r="AG39" s="436" t="s">
        <v>166</v>
      </c>
      <c r="AH39" s="437">
        <f>HLOOKUP($AH$20,$B$14:$Z$67,Z55,FALSE)</f>
        <v>0</v>
      </c>
      <c r="AI39" s="437"/>
      <c r="AJ39" s="87"/>
    </row>
    <row r="40" spans="1:37" ht="12" x14ac:dyDescent="0.2">
      <c r="A40" s="455" t="s">
        <v>167</v>
      </c>
      <c r="B40" s="456">
        <f t="shared" ref="B40:Y40" si="18">IF($B173&gt;=0.9, B$36,B$36*$B173)</f>
        <v>1.7989926034708166</v>
      </c>
      <c r="C40" s="456">
        <f t="shared" si="18"/>
        <v>2.1526407221018315</v>
      </c>
      <c r="D40" s="456">
        <f t="shared" si="18"/>
        <v>2.1526407221018315</v>
      </c>
      <c r="E40" s="456">
        <f t="shared" si="18"/>
        <v>2.4601608252592366</v>
      </c>
      <c r="F40" s="456">
        <f t="shared" si="18"/>
        <v>2.4601608252592366</v>
      </c>
      <c r="G40" s="456">
        <f t="shared" si="18"/>
        <v>2.4601608252592366</v>
      </c>
      <c r="H40" s="456">
        <f t="shared" si="18"/>
        <v>2.4601608252592366</v>
      </c>
      <c r="I40" s="456">
        <f t="shared" si="18"/>
        <v>2.4601608252592366</v>
      </c>
      <c r="J40" s="456">
        <f t="shared" si="18"/>
        <v>2.4601608252592366</v>
      </c>
      <c r="K40" s="456">
        <f t="shared" si="18"/>
        <v>2.4601608252592366</v>
      </c>
      <c r="L40" s="456">
        <f t="shared" si="18"/>
        <v>2.4601608252592366</v>
      </c>
      <c r="M40" s="456">
        <f t="shared" si="18"/>
        <v>2.4601608252592366</v>
      </c>
      <c r="N40" s="456">
        <f t="shared" si="18"/>
        <v>2.7676809284166408</v>
      </c>
      <c r="O40" s="456">
        <f t="shared" si="18"/>
        <v>2.7676809284166408</v>
      </c>
      <c r="P40" s="456">
        <f t="shared" si="18"/>
        <v>2.7676809284166408</v>
      </c>
      <c r="Q40" s="456">
        <f t="shared" si="18"/>
        <v>3.0752010315740455</v>
      </c>
      <c r="R40" s="456">
        <f t="shared" si="18"/>
        <v>3.0752010315740455</v>
      </c>
      <c r="S40" s="456">
        <f t="shared" si="18"/>
        <v>3.0752010315740455</v>
      </c>
      <c r="T40" s="456">
        <f t="shared" si="18"/>
        <v>3.0752010315740455</v>
      </c>
      <c r="U40" s="456">
        <f t="shared" si="18"/>
        <v>3.0752010315740455</v>
      </c>
      <c r="V40" s="456">
        <f t="shared" si="18"/>
        <v>3.0752010315740455</v>
      </c>
      <c r="W40" s="456">
        <f t="shared" si="18"/>
        <v>3.0752010315740455</v>
      </c>
      <c r="X40" s="453">
        <f t="shared" si="18"/>
        <v>1.7989926034708166</v>
      </c>
      <c r="Y40" s="456">
        <f t="shared" si="18"/>
        <v>2.1526407221018315</v>
      </c>
      <c r="Z40" s="90">
        <v>25</v>
      </c>
      <c r="AA40" s="11"/>
      <c r="AB40" s="11"/>
      <c r="AC40" s="11"/>
      <c r="AF40" s="34"/>
      <c r="AG40" s="438">
        <v>8</v>
      </c>
      <c r="AH40" s="432">
        <f>IF(AH39-$AG40&lt;0,0,AH39-$AG40)</f>
        <v>0</v>
      </c>
      <c r="AI40" s="432">
        <f>IF(ISERROR((AH40/$AH$52)*$AH$22),0,(AH40/$AH$52)*$AH$22)</f>
        <v>0</v>
      </c>
      <c r="AJ40" s="87"/>
    </row>
    <row r="41" spans="1:37" ht="12" x14ac:dyDescent="0.2">
      <c r="A41" s="455" t="s">
        <v>168</v>
      </c>
      <c r="B41" s="456">
        <f t="shared" ref="B41:Y41" si="19">IF($B174&gt;=0.9, B$36,B$36*$B174)</f>
        <v>1.8072903272023924</v>
      </c>
      <c r="C41" s="456">
        <f t="shared" si="19"/>
        <v>2.1625696222934607</v>
      </c>
      <c r="D41" s="456">
        <f t="shared" si="19"/>
        <v>2.1625696222934607</v>
      </c>
      <c r="E41" s="456">
        <f t="shared" si="19"/>
        <v>2.4715081397639556</v>
      </c>
      <c r="F41" s="456">
        <f t="shared" si="19"/>
        <v>2.4715081397639556</v>
      </c>
      <c r="G41" s="456">
        <f t="shared" si="19"/>
        <v>2.4715081397639556</v>
      </c>
      <c r="H41" s="456">
        <f t="shared" si="19"/>
        <v>2.4715081397639556</v>
      </c>
      <c r="I41" s="456">
        <f t="shared" si="19"/>
        <v>2.4715081397639556</v>
      </c>
      <c r="J41" s="456">
        <f t="shared" si="19"/>
        <v>2.4715081397639556</v>
      </c>
      <c r="K41" s="456">
        <f t="shared" si="19"/>
        <v>2.4715081397639556</v>
      </c>
      <c r="L41" s="456">
        <f t="shared" si="19"/>
        <v>2.4715081397639556</v>
      </c>
      <c r="M41" s="456">
        <f t="shared" si="19"/>
        <v>2.4715081397639556</v>
      </c>
      <c r="N41" s="456">
        <f t="shared" si="19"/>
        <v>2.7804466572344499</v>
      </c>
      <c r="O41" s="456">
        <f t="shared" si="19"/>
        <v>2.7804466572344499</v>
      </c>
      <c r="P41" s="456">
        <f t="shared" si="19"/>
        <v>2.7804466572344499</v>
      </c>
      <c r="Q41" s="456">
        <f t="shared" si="19"/>
        <v>3.0893851747049443</v>
      </c>
      <c r="R41" s="456">
        <f t="shared" si="19"/>
        <v>3.0893851747049443</v>
      </c>
      <c r="S41" s="456">
        <f t="shared" si="19"/>
        <v>3.0893851747049443</v>
      </c>
      <c r="T41" s="456">
        <f t="shared" si="19"/>
        <v>3.0893851747049443</v>
      </c>
      <c r="U41" s="456">
        <f t="shared" si="19"/>
        <v>3.0893851747049443</v>
      </c>
      <c r="V41" s="456">
        <f t="shared" si="19"/>
        <v>3.0893851747049443</v>
      </c>
      <c r="W41" s="456">
        <f t="shared" si="19"/>
        <v>3.0893851747049443</v>
      </c>
      <c r="X41" s="453">
        <f t="shared" si="19"/>
        <v>1.8072903272023924</v>
      </c>
      <c r="Y41" s="456">
        <f t="shared" si="19"/>
        <v>2.1625696222934607</v>
      </c>
      <c r="Z41" s="92">
        <v>26</v>
      </c>
      <c r="AF41" s="34"/>
      <c r="AG41" s="436" t="s">
        <v>169</v>
      </c>
      <c r="AH41" s="437">
        <f>HLOOKUP($AH$20,$B$14:$Z$67,Z57,FALSE)</f>
        <v>3</v>
      </c>
      <c r="AI41" s="437"/>
      <c r="AJ41" s="87"/>
    </row>
    <row r="42" spans="1:37" ht="12" x14ac:dyDescent="0.2">
      <c r="A42" s="421" t="s">
        <v>170</v>
      </c>
      <c r="B42" s="456">
        <f t="shared" ref="B42:Y42" si="20">IF($B175&gt;=0.9, B$36,B$36*$B175)</f>
        <v>1.7989926034708166</v>
      </c>
      <c r="C42" s="456">
        <f t="shared" si="20"/>
        <v>2.1526407221018315</v>
      </c>
      <c r="D42" s="456">
        <f t="shared" si="20"/>
        <v>2.1526407221018315</v>
      </c>
      <c r="E42" s="456">
        <f t="shared" si="20"/>
        <v>2.4601608252592366</v>
      </c>
      <c r="F42" s="456">
        <f t="shared" si="20"/>
        <v>2.4601608252592366</v>
      </c>
      <c r="G42" s="456">
        <f t="shared" si="20"/>
        <v>2.4601608252592366</v>
      </c>
      <c r="H42" s="456">
        <f t="shared" si="20"/>
        <v>2.4601608252592366</v>
      </c>
      <c r="I42" s="456">
        <f t="shared" si="20"/>
        <v>2.4601608252592366</v>
      </c>
      <c r="J42" s="456">
        <f t="shared" si="20"/>
        <v>2.4601608252592366</v>
      </c>
      <c r="K42" s="456">
        <f t="shared" si="20"/>
        <v>2.4601608252592366</v>
      </c>
      <c r="L42" s="456">
        <f t="shared" si="20"/>
        <v>2.4601608252592366</v>
      </c>
      <c r="M42" s="456">
        <f t="shared" si="20"/>
        <v>2.4601608252592366</v>
      </c>
      <c r="N42" s="456">
        <f t="shared" si="20"/>
        <v>2.7676809284166408</v>
      </c>
      <c r="O42" s="456">
        <f t="shared" si="20"/>
        <v>2.7676809284166408</v>
      </c>
      <c r="P42" s="456">
        <f t="shared" si="20"/>
        <v>2.7676809284166408</v>
      </c>
      <c r="Q42" s="456">
        <f t="shared" si="20"/>
        <v>3.0752010315740455</v>
      </c>
      <c r="R42" s="456">
        <f t="shared" si="20"/>
        <v>3.0752010315740455</v>
      </c>
      <c r="S42" s="456">
        <f t="shared" si="20"/>
        <v>3.0752010315740455</v>
      </c>
      <c r="T42" s="456">
        <f t="shared" si="20"/>
        <v>3.0752010315740455</v>
      </c>
      <c r="U42" s="456">
        <f t="shared" si="20"/>
        <v>3.0752010315740455</v>
      </c>
      <c r="V42" s="456">
        <f t="shared" si="20"/>
        <v>3.0752010315740455</v>
      </c>
      <c r="W42" s="456">
        <f t="shared" si="20"/>
        <v>3.0752010315740455</v>
      </c>
      <c r="X42" s="453">
        <f t="shared" si="20"/>
        <v>1.7989926034708166</v>
      </c>
      <c r="Y42" s="456">
        <f t="shared" si="20"/>
        <v>2.1526407221018315</v>
      </c>
      <c r="Z42" s="90">
        <v>27</v>
      </c>
      <c r="AF42" s="109"/>
      <c r="AG42" s="438">
        <v>6</v>
      </c>
      <c r="AH42" s="432">
        <f>IF(AH41-$AG42&lt;0,0,AH41-$AG42)</f>
        <v>0</v>
      </c>
      <c r="AI42" s="432">
        <f>IF(ISERROR((AH42/$AH$52)*$AH$22),0,(AH42/$AH$52)*$AH$22)</f>
        <v>0</v>
      </c>
      <c r="AJ42" s="87"/>
    </row>
    <row r="43" spans="1:37" ht="12" x14ac:dyDescent="0.2">
      <c r="A43" s="455" t="s">
        <v>171</v>
      </c>
      <c r="B43" s="456">
        <f t="shared" ref="B43:Y43" si="21">IF($B176&gt;=0.9, B$36,B$36*$B176)</f>
        <v>1.8072903272023924</v>
      </c>
      <c r="C43" s="456">
        <f t="shared" si="21"/>
        <v>2.1625696222934607</v>
      </c>
      <c r="D43" s="456">
        <f t="shared" si="21"/>
        <v>2.1625696222934607</v>
      </c>
      <c r="E43" s="456">
        <f t="shared" si="21"/>
        <v>2.4715081397639556</v>
      </c>
      <c r="F43" s="456">
        <f t="shared" si="21"/>
        <v>2.4715081397639556</v>
      </c>
      <c r="G43" s="456">
        <f t="shared" si="21"/>
        <v>2.4715081397639556</v>
      </c>
      <c r="H43" s="456">
        <f t="shared" si="21"/>
        <v>2.4715081397639556</v>
      </c>
      <c r="I43" s="456">
        <f t="shared" si="21"/>
        <v>2.4715081397639556</v>
      </c>
      <c r="J43" s="456">
        <f t="shared" si="21"/>
        <v>2.4715081397639556</v>
      </c>
      <c r="K43" s="456">
        <f t="shared" si="21"/>
        <v>2.4715081397639556</v>
      </c>
      <c r="L43" s="456">
        <f t="shared" si="21"/>
        <v>2.4715081397639556</v>
      </c>
      <c r="M43" s="456">
        <f t="shared" si="21"/>
        <v>2.4715081397639556</v>
      </c>
      <c r="N43" s="456">
        <f t="shared" si="21"/>
        <v>2.7804466572344499</v>
      </c>
      <c r="O43" s="456">
        <f t="shared" si="21"/>
        <v>2.7804466572344499</v>
      </c>
      <c r="P43" s="456">
        <f t="shared" si="21"/>
        <v>2.7804466572344499</v>
      </c>
      <c r="Q43" s="456">
        <f t="shared" si="21"/>
        <v>3.0893851747049443</v>
      </c>
      <c r="R43" s="456">
        <f t="shared" si="21"/>
        <v>3.0893851747049443</v>
      </c>
      <c r="S43" s="456">
        <f t="shared" si="21"/>
        <v>3.0893851747049443</v>
      </c>
      <c r="T43" s="456">
        <f t="shared" si="21"/>
        <v>3.0893851747049443</v>
      </c>
      <c r="U43" s="456">
        <f t="shared" si="21"/>
        <v>3.0893851747049443</v>
      </c>
      <c r="V43" s="456">
        <f t="shared" si="21"/>
        <v>3.0893851747049443</v>
      </c>
      <c r="W43" s="456">
        <f t="shared" si="21"/>
        <v>3.0893851747049443</v>
      </c>
      <c r="X43" s="453">
        <f t="shared" si="21"/>
        <v>1.8072903272023924</v>
      </c>
      <c r="Y43" s="456">
        <f t="shared" si="21"/>
        <v>2.1625696222934607</v>
      </c>
      <c r="Z43" s="90">
        <v>28</v>
      </c>
      <c r="AF43" s="107"/>
      <c r="AG43" s="436" t="s">
        <v>172</v>
      </c>
      <c r="AH43" s="437">
        <f>HLOOKUP($AH$20,$B$14:$Z$67,Z59,FALSE)</f>
        <v>0</v>
      </c>
      <c r="AI43" s="437"/>
      <c r="AJ43" s="87"/>
    </row>
    <row r="44" spans="1:37" ht="12" x14ac:dyDescent="0.2">
      <c r="A44" s="455" t="s">
        <v>173</v>
      </c>
      <c r="B44" s="456">
        <f t="shared" ref="B44:Y44" si="22">IF(B$13="Deploy",B$36,IF($B177&gt;=0.9, B$36,B$36*$B177))</f>
        <v>0.53270967279760728</v>
      </c>
      <c r="C44" s="456">
        <f t="shared" si="22"/>
        <v>0.63743037770653865</v>
      </c>
      <c r="D44" s="456">
        <f t="shared" si="22"/>
        <v>0.63743037770653865</v>
      </c>
      <c r="E44" s="456">
        <f t="shared" si="22"/>
        <v>0.72849186023604418</v>
      </c>
      <c r="F44" s="456">
        <f t="shared" si="22"/>
        <v>0.72849186023604418</v>
      </c>
      <c r="G44" s="456">
        <f t="shared" si="22"/>
        <v>0.72849186023604418</v>
      </c>
      <c r="H44" s="456">
        <f t="shared" si="22"/>
        <v>0.72849186023604418</v>
      </c>
      <c r="I44" s="456">
        <f t="shared" si="22"/>
        <v>0.72849186023604418</v>
      </c>
      <c r="J44" s="456">
        <f t="shared" si="22"/>
        <v>0.72849186023604418</v>
      </c>
      <c r="K44" s="456">
        <f t="shared" si="22"/>
        <v>0.72849186023604418</v>
      </c>
      <c r="L44" s="456">
        <f t="shared" si="22"/>
        <v>0.72849186023604418</v>
      </c>
      <c r="M44" s="456">
        <f t="shared" si="22"/>
        <v>0.72849186023604418</v>
      </c>
      <c r="N44" s="456">
        <f t="shared" si="22"/>
        <v>0.8195533427655497</v>
      </c>
      <c r="O44" s="456">
        <f t="shared" si="22"/>
        <v>0.8195533427655497</v>
      </c>
      <c r="P44" s="456">
        <f t="shared" si="22"/>
        <v>0.8195533427655497</v>
      </c>
      <c r="Q44" s="456">
        <f t="shared" si="22"/>
        <v>0.91061482529505522</v>
      </c>
      <c r="R44" s="456">
        <f t="shared" si="22"/>
        <v>0.91061482529505522</v>
      </c>
      <c r="S44" s="456">
        <f t="shared" si="22"/>
        <v>0.91061482529505522</v>
      </c>
      <c r="T44" s="456">
        <f t="shared" si="22"/>
        <v>4</v>
      </c>
      <c r="U44" s="456">
        <f t="shared" si="22"/>
        <v>4</v>
      </c>
      <c r="V44" s="456">
        <f t="shared" si="22"/>
        <v>4</v>
      </c>
      <c r="W44" s="456">
        <f t="shared" si="22"/>
        <v>0.91061482529505522</v>
      </c>
      <c r="X44" s="453">
        <f t="shared" si="22"/>
        <v>0.53270967279760728</v>
      </c>
      <c r="Y44" s="456">
        <f t="shared" si="22"/>
        <v>0.63743037770653865</v>
      </c>
      <c r="Z44" s="92">
        <v>29</v>
      </c>
      <c r="AF44" s="107"/>
      <c r="AG44" s="438">
        <v>6</v>
      </c>
      <c r="AH44" s="432">
        <f>IF(AH43-$AG44&lt;0,0,AH43-$AG44)</f>
        <v>0</v>
      </c>
      <c r="AI44" s="432">
        <f>IF(ISERROR((AH44/$AH$52)*$AH$22),0,(AH44/$AH$52)*$AH$22)</f>
        <v>0</v>
      </c>
      <c r="AJ44" s="87"/>
    </row>
    <row r="45" spans="1:37" ht="12" x14ac:dyDescent="0.2">
      <c r="A45" s="455" t="s">
        <v>174</v>
      </c>
      <c r="B45" s="456">
        <f t="shared" ref="B45:Y45" si="23">IF($B178&gt;=0.9, B$36,B$36*$B178)</f>
        <v>1.8072903272023924</v>
      </c>
      <c r="C45" s="456">
        <f t="shared" si="23"/>
        <v>2.1625696222934607</v>
      </c>
      <c r="D45" s="456">
        <f t="shared" si="23"/>
        <v>2.1625696222934607</v>
      </c>
      <c r="E45" s="456">
        <f t="shared" si="23"/>
        <v>2.4715081397639556</v>
      </c>
      <c r="F45" s="456">
        <f t="shared" si="23"/>
        <v>2.4715081397639556</v>
      </c>
      <c r="G45" s="456">
        <f t="shared" si="23"/>
        <v>2.4715081397639556</v>
      </c>
      <c r="H45" s="456">
        <f t="shared" si="23"/>
        <v>2.4715081397639556</v>
      </c>
      <c r="I45" s="456">
        <f t="shared" si="23"/>
        <v>2.4715081397639556</v>
      </c>
      <c r="J45" s="456">
        <f t="shared" si="23"/>
        <v>2.4715081397639556</v>
      </c>
      <c r="K45" s="456">
        <f t="shared" si="23"/>
        <v>2.4715081397639556</v>
      </c>
      <c r="L45" s="456">
        <f t="shared" si="23"/>
        <v>2.4715081397639556</v>
      </c>
      <c r="M45" s="456">
        <f t="shared" si="23"/>
        <v>2.4715081397639556</v>
      </c>
      <c r="N45" s="456">
        <f t="shared" si="23"/>
        <v>2.7804466572344499</v>
      </c>
      <c r="O45" s="456">
        <f t="shared" si="23"/>
        <v>2.7804466572344499</v>
      </c>
      <c r="P45" s="456">
        <f t="shared" si="23"/>
        <v>2.7804466572344499</v>
      </c>
      <c r="Q45" s="456">
        <f t="shared" si="23"/>
        <v>3.0893851747049443</v>
      </c>
      <c r="R45" s="456">
        <f t="shared" si="23"/>
        <v>3.0893851747049443</v>
      </c>
      <c r="S45" s="456">
        <f t="shared" si="23"/>
        <v>3.0893851747049443</v>
      </c>
      <c r="T45" s="456">
        <f t="shared" si="23"/>
        <v>3.0893851747049443</v>
      </c>
      <c r="U45" s="456">
        <f t="shared" si="23"/>
        <v>3.0893851747049443</v>
      </c>
      <c r="V45" s="456">
        <f t="shared" si="23"/>
        <v>3.0893851747049443</v>
      </c>
      <c r="W45" s="456">
        <f t="shared" si="23"/>
        <v>3.0893851747049443</v>
      </c>
      <c r="X45" s="453">
        <f t="shared" si="23"/>
        <v>1.8072903272023924</v>
      </c>
      <c r="Y45" s="456">
        <f t="shared" si="23"/>
        <v>2.1625696222934607</v>
      </c>
      <c r="Z45" s="90">
        <v>30</v>
      </c>
      <c r="AF45" s="107"/>
      <c r="AG45" s="436" t="s">
        <v>175</v>
      </c>
      <c r="AH45" s="437">
        <f>HLOOKUP($AH$20,$B$14:$Z$67,Z61,FALSE)</f>
        <v>0</v>
      </c>
      <c r="AI45" s="437"/>
      <c r="AJ45" s="87"/>
    </row>
    <row r="46" spans="1:37" ht="12" x14ac:dyDescent="0.2">
      <c r="A46" s="457" t="s">
        <v>176</v>
      </c>
      <c r="B46" s="456">
        <f t="shared" ref="B46:Y46" si="24">IF(B$13="Deploy",B$36,IF($B179&gt;=0.9, B$36,B$36*$B179))</f>
        <v>0.53270967279760728</v>
      </c>
      <c r="C46" s="456">
        <f t="shared" si="24"/>
        <v>0.63743037770653865</v>
      </c>
      <c r="D46" s="456">
        <f t="shared" si="24"/>
        <v>0.63743037770653865</v>
      </c>
      <c r="E46" s="456">
        <f t="shared" si="24"/>
        <v>0.72849186023604418</v>
      </c>
      <c r="F46" s="456">
        <f t="shared" si="24"/>
        <v>0.72849186023604418</v>
      </c>
      <c r="G46" s="456">
        <f t="shared" si="24"/>
        <v>0.72849186023604418</v>
      </c>
      <c r="H46" s="456">
        <f t="shared" si="24"/>
        <v>0.72849186023604418</v>
      </c>
      <c r="I46" s="456">
        <f t="shared" si="24"/>
        <v>0.72849186023604418</v>
      </c>
      <c r="J46" s="456">
        <f t="shared" si="24"/>
        <v>0.72849186023604418</v>
      </c>
      <c r="K46" s="456">
        <f t="shared" si="24"/>
        <v>0.72849186023604418</v>
      </c>
      <c r="L46" s="456">
        <f t="shared" si="24"/>
        <v>0.72849186023604418</v>
      </c>
      <c r="M46" s="456">
        <f t="shared" si="24"/>
        <v>0.72849186023604418</v>
      </c>
      <c r="N46" s="456">
        <f t="shared" si="24"/>
        <v>0.8195533427655497</v>
      </c>
      <c r="O46" s="456">
        <f t="shared" si="24"/>
        <v>0.8195533427655497</v>
      </c>
      <c r="P46" s="456">
        <f t="shared" si="24"/>
        <v>0.8195533427655497</v>
      </c>
      <c r="Q46" s="456">
        <f t="shared" si="24"/>
        <v>0.91061482529505522</v>
      </c>
      <c r="R46" s="456">
        <f t="shared" si="24"/>
        <v>0.91061482529505522</v>
      </c>
      <c r="S46" s="456">
        <f t="shared" si="24"/>
        <v>0.91061482529505522</v>
      </c>
      <c r="T46" s="456">
        <f t="shared" si="24"/>
        <v>4</v>
      </c>
      <c r="U46" s="456">
        <f t="shared" si="24"/>
        <v>4</v>
      </c>
      <c r="V46" s="456">
        <f t="shared" si="24"/>
        <v>4</v>
      </c>
      <c r="W46" s="456">
        <f t="shared" si="24"/>
        <v>0.91061482529505522</v>
      </c>
      <c r="X46" s="453">
        <f t="shared" si="24"/>
        <v>0.53270967279760728</v>
      </c>
      <c r="Y46" s="456">
        <f t="shared" si="24"/>
        <v>0.63743037770653865</v>
      </c>
      <c r="Z46" s="90">
        <v>31</v>
      </c>
      <c r="AF46" s="107"/>
      <c r="AG46" s="438">
        <v>7</v>
      </c>
      <c r="AH46" s="432">
        <f>IF(AH45-$AG46&lt;0,0,AH45-$AG46)</f>
        <v>0</v>
      </c>
      <c r="AI46" s="432">
        <f>IF(ISERROR((AH46/$AH$52)*$AH$22),0,(AH46/$AH$52)*$AH$22)</f>
        <v>0</v>
      </c>
      <c r="AJ46" s="87"/>
    </row>
    <row r="47" spans="1:37" x14ac:dyDescent="0.2">
      <c r="A47" s="458" t="s">
        <v>177</v>
      </c>
      <c r="B47" s="456">
        <f t="shared" ref="B47:Y47" si="25">IF(B$13="Deploy",B$36,IF($B180&gt;=0.9, B$36,B$36*$B180))</f>
        <v>2.34</v>
      </c>
      <c r="C47" s="456">
        <f t="shared" si="25"/>
        <v>2.8</v>
      </c>
      <c r="D47" s="456">
        <f t="shared" si="25"/>
        <v>2.8</v>
      </c>
      <c r="E47" s="456">
        <f t="shared" si="25"/>
        <v>3.2</v>
      </c>
      <c r="F47" s="456">
        <f t="shared" si="25"/>
        <v>3.2</v>
      </c>
      <c r="G47" s="456">
        <f t="shared" si="25"/>
        <v>3.2</v>
      </c>
      <c r="H47" s="456">
        <f t="shared" si="25"/>
        <v>3.2</v>
      </c>
      <c r="I47" s="456">
        <f t="shared" si="25"/>
        <v>3.2</v>
      </c>
      <c r="J47" s="456">
        <f t="shared" si="25"/>
        <v>3.2</v>
      </c>
      <c r="K47" s="456">
        <f t="shared" si="25"/>
        <v>3.2</v>
      </c>
      <c r="L47" s="456">
        <f t="shared" si="25"/>
        <v>3.2</v>
      </c>
      <c r="M47" s="456">
        <f t="shared" si="25"/>
        <v>3.2</v>
      </c>
      <c r="N47" s="456">
        <f t="shared" si="25"/>
        <v>3.6</v>
      </c>
      <c r="O47" s="456">
        <f t="shared" si="25"/>
        <v>3.6</v>
      </c>
      <c r="P47" s="456">
        <f t="shared" si="25"/>
        <v>3.6</v>
      </c>
      <c r="Q47" s="456">
        <f t="shared" si="25"/>
        <v>4</v>
      </c>
      <c r="R47" s="456">
        <f t="shared" si="25"/>
        <v>4</v>
      </c>
      <c r="S47" s="456">
        <f t="shared" si="25"/>
        <v>4</v>
      </c>
      <c r="T47" s="456">
        <f t="shared" si="25"/>
        <v>4</v>
      </c>
      <c r="U47" s="456">
        <f t="shared" si="25"/>
        <v>4</v>
      </c>
      <c r="V47" s="456">
        <f t="shared" si="25"/>
        <v>4</v>
      </c>
      <c r="W47" s="456">
        <f t="shared" si="25"/>
        <v>4</v>
      </c>
      <c r="X47" s="453">
        <f t="shared" si="25"/>
        <v>2.34</v>
      </c>
      <c r="Y47" s="456">
        <f t="shared" si="25"/>
        <v>2.8</v>
      </c>
      <c r="Z47" s="92">
        <v>32</v>
      </c>
      <c r="AF47" s="107"/>
      <c r="AG47" s="436" t="s">
        <v>178</v>
      </c>
      <c r="AH47" s="437">
        <f>HLOOKUP($AH$20,$B$14:$Z$67,Z63,FALSE)</f>
        <v>3</v>
      </c>
      <c r="AI47" s="437"/>
      <c r="AJ47" s="34"/>
      <c r="AK47" s="11"/>
    </row>
    <row r="48" spans="1:37" s="11" customFormat="1" ht="12" x14ac:dyDescent="0.2">
      <c r="A48" s="570" t="s">
        <v>179</v>
      </c>
      <c r="B48" s="449"/>
      <c r="C48" s="176"/>
      <c r="D48" s="176"/>
      <c r="E48" s="176"/>
      <c r="F48" s="176"/>
      <c r="G48" s="176"/>
      <c r="H48" s="176"/>
      <c r="I48" s="176"/>
      <c r="J48" s="176"/>
      <c r="K48" s="176"/>
      <c r="L48" s="176"/>
      <c r="M48" s="176"/>
      <c r="N48" s="176"/>
      <c r="O48" s="176"/>
      <c r="P48" s="176"/>
      <c r="Q48" s="176"/>
      <c r="R48" s="176"/>
      <c r="S48" s="176"/>
      <c r="T48" s="176"/>
      <c r="U48" s="176"/>
      <c r="V48" s="176"/>
      <c r="W48" s="176"/>
      <c r="X48" s="176"/>
      <c r="Y48" s="448"/>
      <c r="Z48" s="90">
        <v>33</v>
      </c>
      <c r="AA48" s="7"/>
      <c r="AB48" s="7"/>
      <c r="AC48" s="7"/>
      <c r="AD48" s="7"/>
      <c r="AE48" s="7"/>
      <c r="AF48" s="107"/>
      <c r="AG48" s="438">
        <v>4</v>
      </c>
      <c r="AH48" s="432">
        <f>IF(AH47-$AG48&lt;0,0,AH47-$AG48)</f>
        <v>0</v>
      </c>
      <c r="AI48" s="432">
        <f>IF(ISERROR((AH48/$AH$52)*$AH$22),0,(AH48/$AH$52)*$AH$22)</f>
        <v>0</v>
      </c>
      <c r="AJ48" s="87"/>
    </row>
    <row r="49" spans="1:36" s="11" customFormat="1" ht="12" x14ac:dyDescent="0.2">
      <c r="A49" s="571" t="s">
        <v>180</v>
      </c>
      <c r="B49" s="572">
        <f>ROUNDUP(B$35*2,0)</f>
        <v>7</v>
      </c>
      <c r="C49" s="572">
        <f t="shared" ref="C49:D49" si="26">ROUNDUP(C$35*2,0)</f>
        <v>7</v>
      </c>
      <c r="D49" s="572">
        <f t="shared" si="26"/>
        <v>7</v>
      </c>
      <c r="E49" s="572">
        <f>ROUNDUP(E$35*3,0)</f>
        <v>12</v>
      </c>
      <c r="F49" s="572">
        <f t="shared" ref="F49:M49" si="27">ROUNDUP(F$35*3,0)</f>
        <v>12</v>
      </c>
      <c r="G49" s="572">
        <f t="shared" si="27"/>
        <v>12</v>
      </c>
      <c r="H49" s="572">
        <f t="shared" si="27"/>
        <v>12</v>
      </c>
      <c r="I49" s="572">
        <f t="shared" si="27"/>
        <v>12</v>
      </c>
      <c r="J49" s="572">
        <f t="shared" si="27"/>
        <v>12</v>
      </c>
      <c r="K49" s="572">
        <f t="shared" si="27"/>
        <v>12</v>
      </c>
      <c r="L49" s="572">
        <f t="shared" si="27"/>
        <v>12</v>
      </c>
      <c r="M49" s="572">
        <f t="shared" si="27"/>
        <v>12</v>
      </c>
      <c r="N49" s="572">
        <f>ROUNDUP(3*N$35,0)+1</f>
        <v>15</v>
      </c>
      <c r="O49" s="572">
        <f t="shared" ref="O49:P49" si="28">ROUNDUP(3*O$35,0)+1</f>
        <v>15</v>
      </c>
      <c r="P49" s="572">
        <f t="shared" si="28"/>
        <v>15</v>
      </c>
      <c r="Q49" s="572">
        <f>ROUNDUP(Q$35*4,0)-2</f>
        <v>18</v>
      </c>
      <c r="R49" s="572">
        <f>ROUNDUP(R$35*4,0)-2</f>
        <v>18</v>
      </c>
      <c r="S49" s="572">
        <f>ROUNDUP(S$35*4,0)</f>
        <v>20</v>
      </c>
      <c r="T49" s="572">
        <f t="shared" ref="T49:W49" si="29">ROUNDUP(T$35*4,0)</f>
        <v>20</v>
      </c>
      <c r="U49" s="572">
        <f t="shared" si="29"/>
        <v>20</v>
      </c>
      <c r="V49" s="572">
        <f t="shared" si="29"/>
        <v>20</v>
      </c>
      <c r="W49" s="572">
        <f t="shared" si="29"/>
        <v>20</v>
      </c>
      <c r="X49" s="573">
        <f>ROUNDUP(X$35*4,0)-2</f>
        <v>18</v>
      </c>
      <c r="Y49" s="572">
        <v>7</v>
      </c>
      <c r="Z49" s="90">
        <v>34</v>
      </c>
      <c r="AA49" s="7"/>
      <c r="AB49" s="7"/>
      <c r="AC49" s="7"/>
      <c r="AF49" s="107"/>
      <c r="AG49" s="436" t="s">
        <v>181</v>
      </c>
      <c r="AH49" s="437">
        <f>HLOOKUP($AH$20,$B$14:$Z$67,Z65,FALSE)</f>
        <v>3</v>
      </c>
      <c r="AI49" s="437"/>
      <c r="AJ49" s="87"/>
    </row>
    <row r="50" spans="1:36" s="11" customFormat="1" thickBot="1" x14ac:dyDescent="0.25">
      <c r="A50" s="571" t="s">
        <v>148</v>
      </c>
      <c r="B50" s="572">
        <f>ROUNDUP(B$35*2,0)-1</f>
        <v>6</v>
      </c>
      <c r="C50" s="572">
        <f t="shared" ref="C50:D50" si="30">ROUNDUP(C$35*2,0)-1</f>
        <v>6</v>
      </c>
      <c r="D50" s="572">
        <f t="shared" si="30"/>
        <v>6</v>
      </c>
      <c r="E50" s="572">
        <f>ROUNDUP(E$35*3,0)-1</f>
        <v>11</v>
      </c>
      <c r="F50" s="572">
        <f t="shared" ref="F50:M50" si="31">ROUNDUP(F$35*3,0)-1</f>
        <v>11</v>
      </c>
      <c r="G50" s="572">
        <f t="shared" si="31"/>
        <v>11</v>
      </c>
      <c r="H50" s="572">
        <f t="shared" si="31"/>
        <v>11</v>
      </c>
      <c r="I50" s="572">
        <f t="shared" si="31"/>
        <v>11</v>
      </c>
      <c r="J50" s="572">
        <f t="shared" si="31"/>
        <v>11</v>
      </c>
      <c r="K50" s="572">
        <f t="shared" si="31"/>
        <v>11</v>
      </c>
      <c r="L50" s="572">
        <f t="shared" si="31"/>
        <v>11</v>
      </c>
      <c r="M50" s="572">
        <f t="shared" si="31"/>
        <v>11</v>
      </c>
      <c r="N50" s="572">
        <f>ROUNDUP(3*N$35,0)</f>
        <v>14</v>
      </c>
      <c r="O50" s="572">
        <f t="shared" ref="O50:P50" si="32">ROUNDUP(3*O$35,0)</f>
        <v>14</v>
      </c>
      <c r="P50" s="572">
        <f t="shared" si="32"/>
        <v>14</v>
      </c>
      <c r="Q50" s="572">
        <f>ROUNDUP(Q$35*3,0)+1</f>
        <v>16</v>
      </c>
      <c r="R50" s="572">
        <f>ROUNDUP(R$35*3,0)+1</f>
        <v>16</v>
      </c>
      <c r="S50" s="572">
        <f>ROUNDUP(S$35*3,0)+2</f>
        <v>17</v>
      </c>
      <c r="T50" s="572">
        <f t="shared" ref="T50:W50" si="33">ROUNDUP(T$35*3,0)+2</f>
        <v>17</v>
      </c>
      <c r="U50" s="572">
        <f t="shared" si="33"/>
        <v>17</v>
      </c>
      <c r="V50" s="572">
        <f t="shared" si="33"/>
        <v>17</v>
      </c>
      <c r="W50" s="572">
        <f t="shared" si="33"/>
        <v>17</v>
      </c>
      <c r="X50" s="573">
        <f>ROUNDUP(X$35*3,0)+1</f>
        <v>16</v>
      </c>
      <c r="Y50" s="572">
        <v>6</v>
      </c>
      <c r="Z50" s="92">
        <v>35</v>
      </c>
      <c r="AF50" s="107"/>
      <c r="AG50" s="441">
        <v>4</v>
      </c>
      <c r="AH50" s="442">
        <f>IF(AH49-$AG50&lt;0,0,AH49-$AG50)</f>
        <v>0</v>
      </c>
      <c r="AI50" s="442">
        <f>IF(ISERROR((AH50/$AH$52)*$AH$22),0,(AH50/$AH$52)*$AH$22)</f>
        <v>0</v>
      </c>
      <c r="AJ50" s="87"/>
    </row>
    <row r="51" spans="1:36" s="11" customFormat="1" ht="12" x14ac:dyDescent="0.2">
      <c r="A51" s="567" t="s">
        <v>182</v>
      </c>
      <c r="B51" s="574">
        <f>B49</f>
        <v>7</v>
      </c>
      <c r="C51" s="574">
        <f t="shared" ref="C51:D51" si="34">C49</f>
        <v>7</v>
      </c>
      <c r="D51" s="574">
        <f t="shared" si="34"/>
        <v>7</v>
      </c>
      <c r="E51" s="574">
        <f>E49</f>
        <v>12</v>
      </c>
      <c r="F51" s="574">
        <f t="shared" ref="F51:P52" si="35">F49</f>
        <v>12</v>
      </c>
      <c r="G51" s="574">
        <f t="shared" si="35"/>
        <v>12</v>
      </c>
      <c r="H51" s="574">
        <f t="shared" si="35"/>
        <v>12</v>
      </c>
      <c r="I51" s="574">
        <f t="shared" si="35"/>
        <v>12</v>
      </c>
      <c r="J51" s="574">
        <f t="shared" si="35"/>
        <v>12</v>
      </c>
      <c r="K51" s="574">
        <f t="shared" si="35"/>
        <v>12</v>
      </c>
      <c r="L51" s="574">
        <f t="shared" si="35"/>
        <v>12</v>
      </c>
      <c r="M51" s="574">
        <f t="shared" si="35"/>
        <v>12</v>
      </c>
      <c r="N51" s="574">
        <f t="shared" ref="N51:X51" si="36">N49+2</f>
        <v>17</v>
      </c>
      <c r="O51" s="574">
        <f t="shared" si="36"/>
        <v>17</v>
      </c>
      <c r="P51" s="574">
        <f t="shared" si="36"/>
        <v>17</v>
      </c>
      <c r="Q51" s="574">
        <f t="shared" si="36"/>
        <v>20</v>
      </c>
      <c r="R51" s="574">
        <f t="shared" si="36"/>
        <v>20</v>
      </c>
      <c r="S51" s="574">
        <f t="shared" si="36"/>
        <v>22</v>
      </c>
      <c r="T51" s="574">
        <f t="shared" si="36"/>
        <v>22</v>
      </c>
      <c r="U51" s="574">
        <f t="shared" si="36"/>
        <v>22</v>
      </c>
      <c r="V51" s="574">
        <f t="shared" si="36"/>
        <v>22</v>
      </c>
      <c r="W51" s="574">
        <f t="shared" si="36"/>
        <v>22</v>
      </c>
      <c r="X51" s="575">
        <f t="shared" si="36"/>
        <v>20</v>
      </c>
      <c r="Y51" s="574">
        <v>7</v>
      </c>
      <c r="Z51" s="90">
        <v>36</v>
      </c>
      <c r="AF51" s="107"/>
      <c r="AG51" s="108" t="s">
        <v>155</v>
      </c>
      <c r="AH51" s="108" t="s">
        <v>156</v>
      </c>
      <c r="AI51" s="108" t="s">
        <v>183</v>
      </c>
      <c r="AJ51" s="87"/>
    </row>
    <row r="52" spans="1:36" s="11" customFormat="1" ht="12" x14ac:dyDescent="0.2">
      <c r="A52" s="567" t="s">
        <v>152</v>
      </c>
      <c r="B52" s="576">
        <f t="shared" ref="B52:Y52" si="37">B50</f>
        <v>6</v>
      </c>
      <c r="C52" s="576">
        <f t="shared" si="37"/>
        <v>6</v>
      </c>
      <c r="D52" s="576">
        <f t="shared" si="37"/>
        <v>6</v>
      </c>
      <c r="E52" s="576">
        <f t="shared" si="37"/>
        <v>11</v>
      </c>
      <c r="F52" s="576">
        <f t="shared" si="37"/>
        <v>11</v>
      </c>
      <c r="G52" s="576">
        <f t="shared" si="37"/>
        <v>11</v>
      </c>
      <c r="H52" s="576">
        <f t="shared" si="37"/>
        <v>11</v>
      </c>
      <c r="I52" s="576">
        <f t="shared" si="37"/>
        <v>11</v>
      </c>
      <c r="J52" s="576">
        <f t="shared" si="37"/>
        <v>11</v>
      </c>
      <c r="K52" s="576">
        <f t="shared" si="35"/>
        <v>11</v>
      </c>
      <c r="L52" s="576">
        <f t="shared" si="35"/>
        <v>11</v>
      </c>
      <c r="M52" s="576">
        <f t="shared" si="35"/>
        <v>11</v>
      </c>
      <c r="N52" s="576">
        <f t="shared" si="35"/>
        <v>14</v>
      </c>
      <c r="O52" s="576">
        <f t="shared" si="35"/>
        <v>14</v>
      </c>
      <c r="P52" s="576">
        <f t="shared" si="35"/>
        <v>14</v>
      </c>
      <c r="Q52" s="576">
        <f t="shared" si="37"/>
        <v>16</v>
      </c>
      <c r="R52" s="576">
        <f t="shared" si="37"/>
        <v>16</v>
      </c>
      <c r="S52" s="576">
        <f t="shared" si="37"/>
        <v>17</v>
      </c>
      <c r="T52" s="576">
        <f t="shared" si="37"/>
        <v>17</v>
      </c>
      <c r="U52" s="576">
        <f t="shared" si="37"/>
        <v>17</v>
      </c>
      <c r="V52" s="576">
        <f t="shared" si="37"/>
        <v>17</v>
      </c>
      <c r="W52" s="576">
        <f t="shared" si="37"/>
        <v>17</v>
      </c>
      <c r="X52" s="326">
        <f t="shared" si="37"/>
        <v>16</v>
      </c>
      <c r="Y52" s="574">
        <f t="shared" si="37"/>
        <v>6</v>
      </c>
      <c r="Z52" s="90">
        <v>37</v>
      </c>
      <c r="AF52" s="107"/>
      <c r="AG52" s="447">
        <f>SUM(AG40,AG42,AG44,AG46,AG48,AG50)</f>
        <v>35</v>
      </c>
      <c r="AH52" s="447">
        <f>SUM(AH39,AH41,AH43,AH45,AH47,AH49)</f>
        <v>9</v>
      </c>
      <c r="AI52" s="447">
        <f>SUM(AI39:AI50)</f>
        <v>0</v>
      </c>
      <c r="AJ52" s="87"/>
    </row>
    <row r="53" spans="1:36" s="11" customFormat="1" ht="12" x14ac:dyDescent="0.2">
      <c r="A53" s="577" t="s">
        <v>184</v>
      </c>
      <c r="B53" s="575"/>
      <c r="C53" s="179"/>
      <c r="D53" s="179"/>
      <c r="E53" s="179"/>
      <c r="F53" s="179"/>
      <c r="G53" s="179"/>
      <c r="H53" s="179"/>
      <c r="I53" s="180"/>
      <c r="J53" s="179"/>
      <c r="K53" s="179"/>
      <c r="L53" s="179"/>
      <c r="M53" s="179"/>
      <c r="N53" s="179"/>
      <c r="O53" s="179"/>
      <c r="P53" s="179"/>
      <c r="Q53" s="179"/>
      <c r="R53" s="179"/>
      <c r="S53" s="179"/>
      <c r="T53" s="179"/>
      <c r="U53" s="179"/>
      <c r="V53" s="179"/>
      <c r="W53" s="179"/>
      <c r="X53" s="179"/>
      <c r="Y53" s="574"/>
      <c r="Z53" s="92">
        <v>38</v>
      </c>
      <c r="AF53" s="107" t="s">
        <v>159</v>
      </c>
      <c r="AG53" s="87"/>
      <c r="AH53" s="87"/>
      <c r="AI53" s="87"/>
      <c r="AJ53" s="87"/>
    </row>
    <row r="54" spans="1:36" s="11" customFormat="1" ht="12" x14ac:dyDescent="0.2">
      <c r="A54" s="571" t="s">
        <v>185</v>
      </c>
      <c r="B54" s="578">
        <f t="shared" ref="B54:D55" si="38">ROUND($B124/5*B$35*0.4,0)</f>
        <v>4</v>
      </c>
      <c r="C54" s="578">
        <f t="shared" si="38"/>
        <v>4</v>
      </c>
      <c r="D54" s="578">
        <f t="shared" si="38"/>
        <v>4</v>
      </c>
      <c r="E54" s="578">
        <f t="shared" ref="E54:M54" si="39">ROUND($B124/5*E$35*0.6,0)</f>
        <v>7</v>
      </c>
      <c r="F54" s="578">
        <f t="shared" si="39"/>
        <v>7</v>
      </c>
      <c r="G54" s="578">
        <f t="shared" si="39"/>
        <v>7</v>
      </c>
      <c r="H54" s="578">
        <f t="shared" si="39"/>
        <v>7</v>
      </c>
      <c r="I54" s="578">
        <f t="shared" si="39"/>
        <v>7</v>
      </c>
      <c r="J54" s="578">
        <f t="shared" si="39"/>
        <v>7</v>
      </c>
      <c r="K54" s="578">
        <f t="shared" si="39"/>
        <v>7</v>
      </c>
      <c r="L54" s="578">
        <f t="shared" si="39"/>
        <v>7</v>
      </c>
      <c r="M54" s="578">
        <f t="shared" si="39"/>
        <v>7</v>
      </c>
      <c r="N54" s="578">
        <f>ROUND($B124/5*N$35*0.8,0)</f>
        <v>10</v>
      </c>
      <c r="O54" s="578">
        <f>ROUND($B124/5*O$35*0.8,0)</f>
        <v>10</v>
      </c>
      <c r="P54" s="578">
        <f>ROUND($B124/5*P$35*0.8,0)</f>
        <v>10</v>
      </c>
      <c r="Q54" s="578">
        <f>ROUND($B124/5*Q$35*0.85,0)</f>
        <v>12</v>
      </c>
      <c r="R54" s="578">
        <f>ROUND($B124/5*R$35*0.85,0)</f>
        <v>12</v>
      </c>
      <c r="S54" s="578">
        <f t="shared" ref="S54:W65" si="40">ROUND($B124/5*S$35,0)</f>
        <v>14</v>
      </c>
      <c r="T54" s="578">
        <f t="shared" si="40"/>
        <v>14</v>
      </c>
      <c r="U54" s="578">
        <f t="shared" si="40"/>
        <v>14</v>
      </c>
      <c r="V54" s="578">
        <f t="shared" si="40"/>
        <v>14</v>
      </c>
      <c r="W54" s="578">
        <f t="shared" si="40"/>
        <v>14</v>
      </c>
      <c r="X54" s="579">
        <f>ROUND($B124/5*X$35*0.85,0)</f>
        <v>12</v>
      </c>
      <c r="Y54" s="578">
        <v>4</v>
      </c>
      <c r="Z54" s="90">
        <v>39</v>
      </c>
    </row>
    <row r="55" spans="1:36" s="11" customFormat="1" ht="12" x14ac:dyDescent="0.2">
      <c r="A55" s="571" t="s">
        <v>186</v>
      </c>
      <c r="B55" s="578">
        <f t="shared" si="38"/>
        <v>3</v>
      </c>
      <c r="C55" s="578">
        <f t="shared" si="38"/>
        <v>3</v>
      </c>
      <c r="D55" s="578">
        <f t="shared" si="38"/>
        <v>3</v>
      </c>
      <c r="E55" s="578">
        <f t="shared" ref="E55:M55" si="41">ROUND($B125/5*E$35*0.8,0)</f>
        <v>6</v>
      </c>
      <c r="F55" s="578">
        <f t="shared" si="41"/>
        <v>6</v>
      </c>
      <c r="G55" s="578">
        <f t="shared" si="41"/>
        <v>6</v>
      </c>
      <c r="H55" s="578">
        <f t="shared" si="41"/>
        <v>6</v>
      </c>
      <c r="I55" s="578">
        <f t="shared" si="41"/>
        <v>6</v>
      </c>
      <c r="J55" s="578">
        <f t="shared" si="41"/>
        <v>6</v>
      </c>
      <c r="K55" s="578">
        <f t="shared" si="41"/>
        <v>6</v>
      </c>
      <c r="L55" s="578">
        <f t="shared" si="41"/>
        <v>6</v>
      </c>
      <c r="M55" s="578">
        <f t="shared" si="41"/>
        <v>6</v>
      </c>
      <c r="N55" s="578">
        <f>ROUND($B125/5*N$35*0.9,0)</f>
        <v>8</v>
      </c>
      <c r="O55" s="578">
        <f>ROUND($B125/5*O$35*0.9,0)</f>
        <v>8</v>
      </c>
      <c r="P55" s="578">
        <f>ROUND($B125/5*P$35*0.9,0)</f>
        <v>8</v>
      </c>
      <c r="Q55" s="578">
        <f>ROUND($B125/5*Q$35*0.9,0)</f>
        <v>9</v>
      </c>
      <c r="R55" s="578">
        <f>ROUND($B125/5*R$35*0.9,0)</f>
        <v>9</v>
      </c>
      <c r="S55" s="578">
        <f t="shared" si="40"/>
        <v>10</v>
      </c>
      <c r="T55" s="578">
        <f t="shared" si="40"/>
        <v>10</v>
      </c>
      <c r="U55" s="578">
        <f t="shared" si="40"/>
        <v>10</v>
      </c>
      <c r="V55" s="578">
        <f t="shared" si="40"/>
        <v>10</v>
      </c>
      <c r="W55" s="578">
        <f t="shared" si="40"/>
        <v>10</v>
      </c>
      <c r="X55" s="579">
        <f>ROUND($B125/5*X$35*0.9,0)</f>
        <v>9</v>
      </c>
      <c r="Y55" s="578">
        <v>3</v>
      </c>
      <c r="Z55" s="90">
        <v>40</v>
      </c>
    </row>
    <row r="56" spans="1:36" s="11" customFormat="1" ht="12" x14ac:dyDescent="0.2">
      <c r="A56" s="567" t="s">
        <v>187</v>
      </c>
      <c r="B56" s="535">
        <v>0</v>
      </c>
      <c r="C56" s="535">
        <v>0</v>
      </c>
      <c r="D56" s="535">
        <v>0</v>
      </c>
      <c r="E56" s="535">
        <f t="shared" ref="E56:M56" si="42">ROUND($B126/5*E$35*0.3,0)</f>
        <v>2</v>
      </c>
      <c r="F56" s="535">
        <f t="shared" si="42"/>
        <v>2</v>
      </c>
      <c r="G56" s="535">
        <f t="shared" si="42"/>
        <v>2</v>
      </c>
      <c r="H56" s="535">
        <f t="shared" si="42"/>
        <v>2</v>
      </c>
      <c r="I56" s="535">
        <f t="shared" si="42"/>
        <v>2</v>
      </c>
      <c r="J56" s="535">
        <f t="shared" si="42"/>
        <v>2</v>
      </c>
      <c r="K56" s="535">
        <f t="shared" si="42"/>
        <v>2</v>
      </c>
      <c r="L56" s="535">
        <f t="shared" si="42"/>
        <v>2</v>
      </c>
      <c r="M56" s="535">
        <f t="shared" si="42"/>
        <v>2</v>
      </c>
      <c r="N56" s="535">
        <f t="shared" ref="N56:P57" si="43">ROUND($B126/5*N$35*0.5,0)</f>
        <v>4</v>
      </c>
      <c r="O56" s="535">
        <f t="shared" si="43"/>
        <v>4</v>
      </c>
      <c r="P56" s="535">
        <f t="shared" si="43"/>
        <v>4</v>
      </c>
      <c r="Q56" s="535">
        <f>ROUND($B126/5*Q$35*0.8,0)</f>
        <v>6</v>
      </c>
      <c r="R56" s="535">
        <f>ROUND($B126/5*R$35*0.8,0)</f>
        <v>6</v>
      </c>
      <c r="S56" s="535">
        <f t="shared" si="40"/>
        <v>8</v>
      </c>
      <c r="T56" s="535">
        <f t="shared" si="40"/>
        <v>8</v>
      </c>
      <c r="U56" s="535">
        <f t="shared" si="40"/>
        <v>8</v>
      </c>
      <c r="V56" s="535">
        <f t="shared" si="40"/>
        <v>8</v>
      </c>
      <c r="W56" s="535">
        <f t="shared" si="40"/>
        <v>8</v>
      </c>
      <c r="X56" s="550">
        <f>ROUND($B126/5*X$35*0.8,0)</f>
        <v>6</v>
      </c>
      <c r="Y56" s="535">
        <v>0</v>
      </c>
      <c r="Z56" s="92">
        <v>41</v>
      </c>
      <c r="AD56" s="95"/>
      <c r="AE56" s="87"/>
    </row>
    <row r="57" spans="1:36" s="11" customFormat="1" ht="12" x14ac:dyDescent="0.2">
      <c r="A57" s="567" t="s">
        <v>188</v>
      </c>
      <c r="B57" s="535">
        <v>0</v>
      </c>
      <c r="C57" s="535">
        <v>0</v>
      </c>
      <c r="D57" s="535">
        <v>0</v>
      </c>
      <c r="E57" s="535">
        <f t="shared" ref="E57:M57" si="44">ROUND($B127/5*E$35*0.3,0)</f>
        <v>1</v>
      </c>
      <c r="F57" s="535">
        <f t="shared" si="44"/>
        <v>1</v>
      </c>
      <c r="G57" s="535">
        <f t="shared" si="44"/>
        <v>1</v>
      </c>
      <c r="H57" s="535">
        <f t="shared" si="44"/>
        <v>1</v>
      </c>
      <c r="I57" s="535">
        <f t="shared" si="44"/>
        <v>1</v>
      </c>
      <c r="J57" s="535">
        <f t="shared" si="44"/>
        <v>1</v>
      </c>
      <c r="K57" s="535">
        <f t="shared" si="44"/>
        <v>1</v>
      </c>
      <c r="L57" s="535">
        <f t="shared" si="44"/>
        <v>1</v>
      </c>
      <c r="M57" s="535">
        <f t="shared" si="44"/>
        <v>1</v>
      </c>
      <c r="N57" s="535">
        <f t="shared" si="43"/>
        <v>2</v>
      </c>
      <c r="O57" s="535">
        <f t="shared" si="43"/>
        <v>2</v>
      </c>
      <c r="P57" s="535">
        <f t="shared" si="43"/>
        <v>2</v>
      </c>
      <c r="Q57" s="535">
        <f>ROUND($B127/5*Q$35*0.8,0)</f>
        <v>3</v>
      </c>
      <c r="R57" s="535">
        <f>ROUND($B127/5*R$35*0.8,0)</f>
        <v>3</v>
      </c>
      <c r="S57" s="535">
        <f t="shared" si="40"/>
        <v>4</v>
      </c>
      <c r="T57" s="535">
        <f t="shared" si="40"/>
        <v>4</v>
      </c>
      <c r="U57" s="535">
        <f t="shared" si="40"/>
        <v>4</v>
      </c>
      <c r="V57" s="535">
        <f t="shared" si="40"/>
        <v>4</v>
      </c>
      <c r="W57" s="535">
        <f t="shared" si="40"/>
        <v>4</v>
      </c>
      <c r="X57" s="550">
        <f>ROUND($B127/5*X$35*0.8,0)</f>
        <v>3</v>
      </c>
      <c r="Y57" s="535">
        <v>0</v>
      </c>
      <c r="Z57" s="90">
        <v>42</v>
      </c>
      <c r="AA57" s="109"/>
      <c r="AB57" s="116"/>
      <c r="AC57" s="95"/>
      <c r="AD57" s="87"/>
      <c r="AE57" s="87"/>
    </row>
    <row r="58" spans="1:36" s="11" customFormat="1" ht="12" x14ac:dyDescent="0.2">
      <c r="A58" s="571" t="s">
        <v>189</v>
      </c>
      <c r="B58" s="578">
        <v>0</v>
      </c>
      <c r="C58" s="578">
        <v>0</v>
      </c>
      <c r="D58" s="578">
        <v>0</v>
      </c>
      <c r="E58" s="578">
        <f t="shared" ref="E58:M58" si="45">ROUND($B128/5*E$35*0.3,0)</f>
        <v>3</v>
      </c>
      <c r="F58" s="578">
        <f t="shared" si="45"/>
        <v>3</v>
      </c>
      <c r="G58" s="578">
        <f t="shared" si="45"/>
        <v>3</v>
      </c>
      <c r="H58" s="578">
        <f t="shared" si="45"/>
        <v>3</v>
      </c>
      <c r="I58" s="578">
        <f t="shared" si="45"/>
        <v>3</v>
      </c>
      <c r="J58" s="578">
        <f t="shared" si="45"/>
        <v>3</v>
      </c>
      <c r="K58" s="578">
        <f t="shared" si="45"/>
        <v>3</v>
      </c>
      <c r="L58" s="578">
        <f t="shared" si="45"/>
        <v>3</v>
      </c>
      <c r="M58" s="578">
        <f t="shared" si="45"/>
        <v>3</v>
      </c>
      <c r="N58" s="578">
        <f t="shared" ref="N58:P59" si="46">ROUND($B128/5*N$35*0.6,0)</f>
        <v>6</v>
      </c>
      <c r="O58" s="578">
        <f t="shared" si="46"/>
        <v>6</v>
      </c>
      <c r="P58" s="578">
        <f t="shared" si="46"/>
        <v>6</v>
      </c>
      <c r="Q58" s="578">
        <f>ROUND($B128/5*Q$35*0.85,0)</f>
        <v>9</v>
      </c>
      <c r="R58" s="578">
        <f>ROUND($B128/5*R$35*0.85,0)</f>
        <v>9</v>
      </c>
      <c r="S58" s="578">
        <f t="shared" si="40"/>
        <v>11</v>
      </c>
      <c r="T58" s="578">
        <f t="shared" si="40"/>
        <v>11</v>
      </c>
      <c r="U58" s="578">
        <f t="shared" si="40"/>
        <v>11</v>
      </c>
      <c r="V58" s="578">
        <f t="shared" si="40"/>
        <v>11</v>
      </c>
      <c r="W58" s="578">
        <f t="shared" si="40"/>
        <v>11</v>
      </c>
      <c r="X58" s="579">
        <f>ROUND($B128/5*X$35*0.85,0)</f>
        <v>9</v>
      </c>
      <c r="Y58" s="578">
        <v>0</v>
      </c>
      <c r="Z58" s="90">
        <v>43</v>
      </c>
      <c r="AA58" s="87"/>
      <c r="AB58" s="87"/>
      <c r="AC58" s="87"/>
      <c r="AD58" s="95"/>
      <c r="AE58" s="87"/>
    </row>
    <row r="59" spans="1:36" s="11" customFormat="1" ht="12" x14ac:dyDescent="0.2">
      <c r="A59" s="571" t="s">
        <v>190</v>
      </c>
      <c r="B59" s="578">
        <v>0</v>
      </c>
      <c r="C59" s="578">
        <v>0</v>
      </c>
      <c r="D59" s="578">
        <v>0</v>
      </c>
      <c r="E59" s="578">
        <f t="shared" ref="E59:M59" si="47">ROUND($B129/5*E$35*0.4,0)</f>
        <v>2</v>
      </c>
      <c r="F59" s="578">
        <f t="shared" si="47"/>
        <v>2</v>
      </c>
      <c r="G59" s="578">
        <f t="shared" si="47"/>
        <v>2</v>
      </c>
      <c r="H59" s="578">
        <f t="shared" si="47"/>
        <v>2</v>
      </c>
      <c r="I59" s="578">
        <f t="shared" si="47"/>
        <v>2</v>
      </c>
      <c r="J59" s="578">
        <f t="shared" si="47"/>
        <v>2</v>
      </c>
      <c r="K59" s="578">
        <f t="shared" si="47"/>
        <v>2</v>
      </c>
      <c r="L59" s="578">
        <f t="shared" si="47"/>
        <v>2</v>
      </c>
      <c r="M59" s="578">
        <f t="shared" si="47"/>
        <v>2</v>
      </c>
      <c r="N59" s="578">
        <f t="shared" si="46"/>
        <v>4</v>
      </c>
      <c r="O59" s="578">
        <f t="shared" si="46"/>
        <v>4</v>
      </c>
      <c r="P59" s="578">
        <f t="shared" si="46"/>
        <v>4</v>
      </c>
      <c r="Q59" s="578">
        <f>ROUND($B129/5*Q$35*0.9,0)</f>
        <v>6</v>
      </c>
      <c r="R59" s="578">
        <f>ROUND($B129/5*R$35*0.9,0)</f>
        <v>6</v>
      </c>
      <c r="S59" s="578">
        <f t="shared" si="40"/>
        <v>7</v>
      </c>
      <c r="T59" s="578">
        <f t="shared" si="40"/>
        <v>7</v>
      </c>
      <c r="U59" s="578">
        <f t="shared" si="40"/>
        <v>7</v>
      </c>
      <c r="V59" s="578">
        <f t="shared" si="40"/>
        <v>7</v>
      </c>
      <c r="W59" s="578">
        <f t="shared" si="40"/>
        <v>7</v>
      </c>
      <c r="X59" s="579">
        <f>ROUND($B129/5*X$35*0.9,0)</f>
        <v>6</v>
      </c>
      <c r="Y59" s="578">
        <v>0</v>
      </c>
      <c r="Z59" s="92">
        <v>44</v>
      </c>
      <c r="AA59" s="43"/>
      <c r="AB59" s="110"/>
      <c r="AC59" s="95"/>
      <c r="AD59" s="95"/>
      <c r="AE59" s="87"/>
    </row>
    <row r="60" spans="1:36" s="11" customFormat="1" ht="12" x14ac:dyDescent="0.2">
      <c r="A60" s="567" t="s">
        <v>191</v>
      </c>
      <c r="B60" s="535">
        <f>ROUND($B130/5*B$35*0.4,0)</f>
        <v>4</v>
      </c>
      <c r="C60" s="535">
        <f>ROUND($B130/5*C$35*0.4,0)</f>
        <v>4</v>
      </c>
      <c r="D60" s="535">
        <f>ROUND($B130/5*D$35*0.4,0)</f>
        <v>4</v>
      </c>
      <c r="E60" s="535">
        <f t="shared" ref="E60:M60" si="48">ROUND($B130/5*E$35*0.7,0)</f>
        <v>7</v>
      </c>
      <c r="F60" s="535">
        <f t="shared" si="48"/>
        <v>7</v>
      </c>
      <c r="G60" s="535">
        <f t="shared" si="48"/>
        <v>7</v>
      </c>
      <c r="H60" s="535">
        <f t="shared" si="48"/>
        <v>7</v>
      </c>
      <c r="I60" s="535">
        <f t="shared" si="48"/>
        <v>7</v>
      </c>
      <c r="J60" s="535">
        <f t="shared" si="48"/>
        <v>7</v>
      </c>
      <c r="K60" s="535">
        <f t="shared" si="48"/>
        <v>7</v>
      </c>
      <c r="L60" s="535">
        <f t="shared" si="48"/>
        <v>7</v>
      </c>
      <c r="M60" s="535">
        <f t="shared" si="48"/>
        <v>7</v>
      </c>
      <c r="N60" s="535">
        <f>ROUND($B130/5*N$35*0.85,0)</f>
        <v>10</v>
      </c>
      <c r="O60" s="535">
        <f>ROUND($B130/5*O$35*0.85,0)</f>
        <v>10</v>
      </c>
      <c r="P60" s="535">
        <f>ROUND($B130/5*P$35*0.85,0)</f>
        <v>10</v>
      </c>
      <c r="Q60" s="535">
        <f>ROUND($B130/5*Q$35*0.85,0)</f>
        <v>11</v>
      </c>
      <c r="R60" s="535">
        <f>ROUND($B130/5*R$35*0.85,0)</f>
        <v>11</v>
      </c>
      <c r="S60" s="535">
        <f t="shared" si="40"/>
        <v>13</v>
      </c>
      <c r="T60" s="535">
        <f t="shared" si="40"/>
        <v>13</v>
      </c>
      <c r="U60" s="535">
        <f t="shared" si="40"/>
        <v>13</v>
      </c>
      <c r="V60" s="535">
        <f t="shared" si="40"/>
        <v>13</v>
      </c>
      <c r="W60" s="535">
        <f t="shared" si="40"/>
        <v>13</v>
      </c>
      <c r="X60" s="550">
        <f>ROUND($B130/5*X$35*0.85,0)</f>
        <v>11</v>
      </c>
      <c r="Y60" s="535">
        <v>4</v>
      </c>
      <c r="Z60" s="90">
        <v>45</v>
      </c>
      <c r="AA60" s="87"/>
      <c r="AB60" s="110"/>
      <c r="AC60" s="95"/>
      <c r="AD60" s="87"/>
      <c r="AE60" s="87"/>
    </row>
    <row r="61" spans="1:36" s="11" customFormat="1" x14ac:dyDescent="0.2">
      <c r="A61" s="567" t="s">
        <v>192</v>
      </c>
      <c r="B61" s="535">
        <f t="shared" ref="B61:D62" si="49">ROUND($B131/5*B$35*0.5,0)</f>
        <v>3</v>
      </c>
      <c r="C61" s="535">
        <f t="shared" si="49"/>
        <v>3</v>
      </c>
      <c r="D61" s="535">
        <f t="shared" si="49"/>
        <v>3</v>
      </c>
      <c r="E61" s="535">
        <f t="shared" ref="E61:M61" si="50">ROUND($B131/5*E$35*0.8,0)</f>
        <v>6</v>
      </c>
      <c r="F61" s="535">
        <f t="shared" si="50"/>
        <v>6</v>
      </c>
      <c r="G61" s="535">
        <f t="shared" si="50"/>
        <v>6</v>
      </c>
      <c r="H61" s="535">
        <f t="shared" si="50"/>
        <v>6</v>
      </c>
      <c r="I61" s="535">
        <f t="shared" si="50"/>
        <v>6</v>
      </c>
      <c r="J61" s="535">
        <f t="shared" si="50"/>
        <v>6</v>
      </c>
      <c r="K61" s="535">
        <f t="shared" si="50"/>
        <v>6</v>
      </c>
      <c r="L61" s="535">
        <f t="shared" si="50"/>
        <v>6</v>
      </c>
      <c r="M61" s="535">
        <f t="shared" si="50"/>
        <v>6</v>
      </c>
      <c r="N61" s="535">
        <f>ROUND($B131/5*N$35,0)</f>
        <v>8</v>
      </c>
      <c r="O61" s="535">
        <f>ROUND($B131/5*O$35,0)</f>
        <v>8</v>
      </c>
      <c r="P61" s="535">
        <f>ROUND($B131/5*P$35,0)</f>
        <v>8</v>
      </c>
      <c r="Q61" s="535">
        <f>ROUND($B131/5*Q$35*0.9,0)</f>
        <v>8</v>
      </c>
      <c r="R61" s="535">
        <f>ROUND($B131/5*R$35*0.9,0)</f>
        <v>8</v>
      </c>
      <c r="S61" s="535">
        <f t="shared" si="40"/>
        <v>9</v>
      </c>
      <c r="T61" s="535">
        <f t="shared" si="40"/>
        <v>9</v>
      </c>
      <c r="U61" s="535">
        <f t="shared" si="40"/>
        <v>9</v>
      </c>
      <c r="V61" s="535">
        <f t="shared" si="40"/>
        <v>9</v>
      </c>
      <c r="W61" s="535">
        <f t="shared" si="40"/>
        <v>9</v>
      </c>
      <c r="X61" s="550">
        <f>ROUND($B131/5*X$35*0.9,0)</f>
        <v>8</v>
      </c>
      <c r="Y61" s="535">
        <v>3</v>
      </c>
      <c r="Z61" s="90">
        <v>46</v>
      </c>
      <c r="AA61" s="107"/>
      <c r="AB61" s="109"/>
      <c r="AC61" s="95"/>
      <c r="AE61" s="72"/>
    </row>
    <row r="62" spans="1:36" s="11" customFormat="1" x14ac:dyDescent="0.2">
      <c r="A62" s="571" t="s">
        <v>193</v>
      </c>
      <c r="B62" s="578">
        <f t="shared" si="49"/>
        <v>4</v>
      </c>
      <c r="C62" s="578">
        <f t="shared" si="49"/>
        <v>4</v>
      </c>
      <c r="D62" s="578">
        <f t="shared" si="49"/>
        <v>4</v>
      </c>
      <c r="E62" s="578">
        <f t="shared" ref="E62:M62" si="51">ROUND($B132/5*E$35*0.6,0)</f>
        <v>5</v>
      </c>
      <c r="F62" s="578">
        <f t="shared" si="51"/>
        <v>5</v>
      </c>
      <c r="G62" s="578">
        <f t="shared" si="51"/>
        <v>5</v>
      </c>
      <c r="H62" s="578">
        <f t="shared" si="51"/>
        <v>5</v>
      </c>
      <c r="I62" s="578">
        <f t="shared" si="51"/>
        <v>5</v>
      </c>
      <c r="J62" s="578">
        <f t="shared" si="51"/>
        <v>5</v>
      </c>
      <c r="K62" s="578">
        <f t="shared" si="51"/>
        <v>5</v>
      </c>
      <c r="L62" s="578">
        <f t="shared" si="51"/>
        <v>5</v>
      </c>
      <c r="M62" s="578">
        <f t="shared" si="51"/>
        <v>5</v>
      </c>
      <c r="N62" s="578">
        <f>ROUND($B132/5*N$35*0.8,0)</f>
        <v>8</v>
      </c>
      <c r="O62" s="578">
        <f>ROUND($B132/5*O$35*0.8,0)</f>
        <v>8</v>
      </c>
      <c r="P62" s="578">
        <f>ROUND($B132/5*P$35*0.8,0)</f>
        <v>8</v>
      </c>
      <c r="Q62" s="578">
        <f>ROUND($B132/5*Q$35*0.8,0)</f>
        <v>9</v>
      </c>
      <c r="R62" s="578">
        <f>ROUND($B132/5*R$35*0.8,0)</f>
        <v>9</v>
      </c>
      <c r="S62" s="578">
        <f t="shared" si="40"/>
        <v>11</v>
      </c>
      <c r="T62" s="578">
        <f t="shared" si="40"/>
        <v>11</v>
      </c>
      <c r="U62" s="578">
        <f t="shared" si="40"/>
        <v>11</v>
      </c>
      <c r="V62" s="578">
        <f t="shared" si="40"/>
        <v>11</v>
      </c>
      <c r="W62" s="578">
        <f t="shared" si="40"/>
        <v>11</v>
      </c>
      <c r="X62" s="579">
        <f>ROUND($B132/5*X$35*0.8,0)</f>
        <v>9</v>
      </c>
      <c r="Y62" s="578">
        <v>4</v>
      </c>
      <c r="Z62" s="92">
        <v>47</v>
      </c>
      <c r="AA62" s="109"/>
      <c r="AB62" s="20"/>
      <c r="AC62" s="20"/>
      <c r="AD62" s="7"/>
      <c r="AE62" s="72"/>
    </row>
    <row r="63" spans="1:36" s="11" customFormat="1" x14ac:dyDescent="0.2">
      <c r="A63" s="571" t="s">
        <v>194</v>
      </c>
      <c r="B63" s="578">
        <f>ROUND($B133/5*B$35*0.7,0)</f>
        <v>3</v>
      </c>
      <c r="C63" s="578">
        <f>ROUND($B133/5*C$35*0.7,0)</f>
        <v>3</v>
      </c>
      <c r="D63" s="578">
        <f>ROUND($B133/5*D$35*0.7,0)</f>
        <v>3</v>
      </c>
      <c r="E63" s="578">
        <f t="shared" ref="E63:M63" si="52">ROUND($B133/5*E$35*0.8,0)</f>
        <v>4</v>
      </c>
      <c r="F63" s="578">
        <f t="shared" si="52"/>
        <v>4</v>
      </c>
      <c r="G63" s="578">
        <f t="shared" si="52"/>
        <v>4</v>
      </c>
      <c r="H63" s="578">
        <f t="shared" si="52"/>
        <v>4</v>
      </c>
      <c r="I63" s="578">
        <f t="shared" si="52"/>
        <v>4</v>
      </c>
      <c r="J63" s="578">
        <f t="shared" si="52"/>
        <v>4</v>
      </c>
      <c r="K63" s="578">
        <f t="shared" si="52"/>
        <v>4</v>
      </c>
      <c r="L63" s="578">
        <f t="shared" si="52"/>
        <v>4</v>
      </c>
      <c r="M63" s="578">
        <f t="shared" si="52"/>
        <v>4</v>
      </c>
      <c r="N63" s="578">
        <f>ROUND($B133/5*N$35*0.9,0)</f>
        <v>6</v>
      </c>
      <c r="O63" s="578">
        <f>ROUND($B133/5*O$35*0.9,0)</f>
        <v>6</v>
      </c>
      <c r="P63" s="578">
        <f>ROUND($B133/5*P$35*0.9,0)</f>
        <v>6</v>
      </c>
      <c r="Q63" s="578">
        <f>ROUND($B133/5*Q$35*0.9,0)</f>
        <v>6</v>
      </c>
      <c r="R63" s="578">
        <f>ROUND($B133/5*R$35*0.9,0)</f>
        <v>6</v>
      </c>
      <c r="S63" s="578">
        <f t="shared" si="40"/>
        <v>7</v>
      </c>
      <c r="T63" s="578">
        <f t="shared" si="40"/>
        <v>7</v>
      </c>
      <c r="U63" s="578">
        <f t="shared" si="40"/>
        <v>7</v>
      </c>
      <c r="V63" s="578">
        <f t="shared" si="40"/>
        <v>7</v>
      </c>
      <c r="W63" s="578">
        <f t="shared" si="40"/>
        <v>7</v>
      </c>
      <c r="X63" s="579">
        <f>ROUND($B133/5*X$35*0.9,0)</f>
        <v>6</v>
      </c>
      <c r="Y63" s="578">
        <v>3</v>
      </c>
      <c r="Z63" s="90">
        <v>48</v>
      </c>
      <c r="AA63" s="109"/>
      <c r="AB63" s="20"/>
      <c r="AC63" s="20"/>
      <c r="AD63" s="7"/>
      <c r="AE63" s="72"/>
    </row>
    <row r="64" spans="1:36" s="11" customFormat="1" x14ac:dyDescent="0.2">
      <c r="A64" s="567" t="s">
        <v>195</v>
      </c>
      <c r="B64" s="535">
        <f t="shared" ref="B64:M64" si="53">ROUND($B134/5*B$35*0.5,0)</f>
        <v>4</v>
      </c>
      <c r="C64" s="535">
        <f t="shared" si="53"/>
        <v>4</v>
      </c>
      <c r="D64" s="535">
        <f t="shared" si="53"/>
        <v>4</v>
      </c>
      <c r="E64" s="535">
        <f t="shared" si="53"/>
        <v>5</v>
      </c>
      <c r="F64" s="535">
        <f t="shared" si="53"/>
        <v>5</v>
      </c>
      <c r="G64" s="535">
        <f t="shared" si="53"/>
        <v>5</v>
      </c>
      <c r="H64" s="535">
        <f t="shared" si="53"/>
        <v>5</v>
      </c>
      <c r="I64" s="535">
        <f t="shared" si="53"/>
        <v>5</v>
      </c>
      <c r="J64" s="535">
        <f t="shared" si="53"/>
        <v>5</v>
      </c>
      <c r="K64" s="535">
        <f t="shared" si="53"/>
        <v>5</v>
      </c>
      <c r="L64" s="535">
        <f t="shared" si="53"/>
        <v>5</v>
      </c>
      <c r="M64" s="535">
        <f t="shared" si="53"/>
        <v>5</v>
      </c>
      <c r="N64" s="535">
        <f>ROUND($B134/5*N$35*0.7,0)</f>
        <v>8</v>
      </c>
      <c r="O64" s="535">
        <f>ROUND($B134/5*O$35*0.7,0)</f>
        <v>8</v>
      </c>
      <c r="P64" s="535">
        <f>ROUND($B134/5*P$35*0.7,0)</f>
        <v>8</v>
      </c>
      <c r="Q64" s="535">
        <f>ROUND($B134/5*Q$35*0.85,0)</f>
        <v>10</v>
      </c>
      <c r="R64" s="535">
        <f>ROUND($B134/5*R$35*0.85,0)</f>
        <v>10</v>
      </c>
      <c r="S64" s="535">
        <f t="shared" si="40"/>
        <v>12</v>
      </c>
      <c r="T64" s="535">
        <f t="shared" si="40"/>
        <v>12</v>
      </c>
      <c r="U64" s="535">
        <f t="shared" si="40"/>
        <v>12</v>
      </c>
      <c r="V64" s="535">
        <f t="shared" si="40"/>
        <v>12</v>
      </c>
      <c r="W64" s="535">
        <f t="shared" si="40"/>
        <v>12</v>
      </c>
      <c r="X64" s="550">
        <f>ROUND($B134/5*X$35*0.85,0)</f>
        <v>10</v>
      </c>
      <c r="Y64" s="535">
        <v>4</v>
      </c>
      <c r="Z64" s="90">
        <v>49</v>
      </c>
      <c r="AA64" s="107"/>
      <c r="AB64" s="7"/>
      <c r="AC64" s="7"/>
      <c r="AD64" s="7"/>
      <c r="AE64" s="72"/>
    </row>
    <row r="65" spans="1:46" s="11" customFormat="1" thickBot="1" x14ac:dyDescent="0.25">
      <c r="A65" s="580" t="s">
        <v>196</v>
      </c>
      <c r="B65" s="581">
        <f t="shared" ref="B65:M65" si="54">ROUND($B135/5*B$35*0.6,0)</f>
        <v>3</v>
      </c>
      <c r="C65" s="581">
        <f t="shared" si="54"/>
        <v>3</v>
      </c>
      <c r="D65" s="581">
        <f t="shared" si="54"/>
        <v>3</v>
      </c>
      <c r="E65" s="581">
        <f t="shared" si="54"/>
        <v>4</v>
      </c>
      <c r="F65" s="581">
        <f t="shared" si="54"/>
        <v>4</v>
      </c>
      <c r="G65" s="581">
        <f t="shared" si="54"/>
        <v>4</v>
      </c>
      <c r="H65" s="581">
        <f t="shared" si="54"/>
        <v>4</v>
      </c>
      <c r="I65" s="581">
        <f t="shared" si="54"/>
        <v>4</v>
      </c>
      <c r="J65" s="581">
        <f t="shared" si="54"/>
        <v>4</v>
      </c>
      <c r="K65" s="581">
        <f t="shared" si="54"/>
        <v>4</v>
      </c>
      <c r="L65" s="581">
        <f t="shared" si="54"/>
        <v>4</v>
      </c>
      <c r="M65" s="581">
        <f t="shared" si="54"/>
        <v>4</v>
      </c>
      <c r="N65" s="581">
        <f>ROUND($B135/5*N$35*0.8,0)</f>
        <v>6</v>
      </c>
      <c r="O65" s="581">
        <f>ROUND($B135/5*O$35*0.8,0)</f>
        <v>6</v>
      </c>
      <c r="P65" s="581">
        <f>ROUND($B135/5*P$35*0.8,0)</f>
        <v>6</v>
      </c>
      <c r="Q65" s="581">
        <f>ROUND($B135/5*Q$35*0.9,0)</f>
        <v>7</v>
      </c>
      <c r="R65" s="581">
        <f>ROUND($B135/5*R$35*0.9,0)</f>
        <v>7</v>
      </c>
      <c r="S65" s="581">
        <f t="shared" si="40"/>
        <v>8</v>
      </c>
      <c r="T65" s="581">
        <f t="shared" si="40"/>
        <v>8</v>
      </c>
      <c r="U65" s="581">
        <f t="shared" si="40"/>
        <v>8</v>
      </c>
      <c r="V65" s="581">
        <f t="shared" si="40"/>
        <v>8</v>
      </c>
      <c r="W65" s="581">
        <f t="shared" si="40"/>
        <v>8</v>
      </c>
      <c r="X65" s="327">
        <f>ROUND($B135/5*X$35*0.9,0)</f>
        <v>7</v>
      </c>
      <c r="Y65" s="535">
        <v>3</v>
      </c>
      <c r="Z65" s="92">
        <v>50</v>
      </c>
      <c r="AA65" s="107"/>
      <c r="AB65" s="7"/>
      <c r="AC65" s="7"/>
      <c r="AD65" s="7"/>
    </row>
    <row r="66" spans="1:46" s="11" customFormat="1" ht="12" x14ac:dyDescent="0.2">
      <c r="A66" s="181" t="s">
        <v>197</v>
      </c>
      <c r="B66" s="182">
        <f>IF(SUM(B54,B56,B58,B60,B62,B64)=0,B49*2,SUM(B54,B56,B58,B60,B62,B64))</f>
        <v>16</v>
      </c>
      <c r="C66" s="182">
        <f t="shared" ref="C66:Y67" si="55">IF(SUM(C54,C56,C58,C60,C62,C64)=0,C49*2,SUM(C54,C56,C58,C60,C62,C64))</f>
        <v>16</v>
      </c>
      <c r="D66" s="182">
        <f t="shared" si="55"/>
        <v>16</v>
      </c>
      <c r="E66" s="182">
        <f t="shared" si="55"/>
        <v>29</v>
      </c>
      <c r="F66" s="182">
        <f t="shared" si="55"/>
        <v>29</v>
      </c>
      <c r="G66" s="182">
        <f t="shared" si="55"/>
        <v>29</v>
      </c>
      <c r="H66" s="182">
        <f t="shared" si="55"/>
        <v>29</v>
      </c>
      <c r="I66" s="182">
        <f t="shared" si="55"/>
        <v>29</v>
      </c>
      <c r="J66" s="182">
        <f t="shared" si="55"/>
        <v>29</v>
      </c>
      <c r="K66" s="182">
        <f t="shared" si="55"/>
        <v>29</v>
      </c>
      <c r="L66" s="182">
        <f t="shared" si="55"/>
        <v>29</v>
      </c>
      <c r="M66" s="182">
        <f t="shared" si="55"/>
        <v>29</v>
      </c>
      <c r="N66" s="182">
        <f t="shared" si="55"/>
        <v>46</v>
      </c>
      <c r="O66" s="182">
        <f t="shared" si="55"/>
        <v>46</v>
      </c>
      <c r="P66" s="182">
        <f t="shared" si="55"/>
        <v>46</v>
      </c>
      <c r="Q66" s="182">
        <f t="shared" si="55"/>
        <v>57</v>
      </c>
      <c r="R66" s="182">
        <f t="shared" si="55"/>
        <v>57</v>
      </c>
      <c r="S66" s="182">
        <f t="shared" si="55"/>
        <v>69</v>
      </c>
      <c r="T66" s="182">
        <f t="shared" si="55"/>
        <v>69</v>
      </c>
      <c r="U66" s="182">
        <f t="shared" si="55"/>
        <v>69</v>
      </c>
      <c r="V66" s="182">
        <f t="shared" si="55"/>
        <v>69</v>
      </c>
      <c r="W66" s="182">
        <f t="shared" si="55"/>
        <v>69</v>
      </c>
      <c r="X66" s="328">
        <f t="shared" si="55"/>
        <v>57</v>
      </c>
      <c r="Y66" s="574">
        <f t="shared" si="55"/>
        <v>16</v>
      </c>
      <c r="Z66" s="90">
        <v>51</v>
      </c>
      <c r="AA66" s="20"/>
      <c r="AB66" s="7"/>
      <c r="AC66" s="7"/>
      <c r="AD66" s="7"/>
      <c r="AE66" s="7"/>
    </row>
    <row r="67" spans="1:46" s="11" customFormat="1" thickBot="1" x14ac:dyDescent="0.25">
      <c r="A67" s="580" t="s">
        <v>198</v>
      </c>
      <c r="B67" s="582">
        <f>IF(SUM(B55,B57,B59,B61,B63,B65)=0,B50*2,SUM(B55,B57,B59,B61,B63,B65))</f>
        <v>12</v>
      </c>
      <c r="C67" s="582">
        <f t="shared" si="55"/>
        <v>12</v>
      </c>
      <c r="D67" s="582">
        <f t="shared" si="55"/>
        <v>12</v>
      </c>
      <c r="E67" s="582">
        <f t="shared" si="55"/>
        <v>23</v>
      </c>
      <c r="F67" s="582">
        <f t="shared" si="55"/>
        <v>23</v>
      </c>
      <c r="G67" s="582">
        <f t="shared" si="55"/>
        <v>23</v>
      </c>
      <c r="H67" s="582">
        <f t="shared" si="55"/>
        <v>23</v>
      </c>
      <c r="I67" s="582">
        <f t="shared" si="55"/>
        <v>23</v>
      </c>
      <c r="J67" s="582">
        <f t="shared" si="55"/>
        <v>23</v>
      </c>
      <c r="K67" s="582">
        <f t="shared" si="55"/>
        <v>23</v>
      </c>
      <c r="L67" s="582">
        <f t="shared" si="55"/>
        <v>23</v>
      </c>
      <c r="M67" s="582">
        <f t="shared" si="55"/>
        <v>23</v>
      </c>
      <c r="N67" s="582">
        <f t="shared" si="55"/>
        <v>34</v>
      </c>
      <c r="O67" s="582">
        <f t="shared" si="55"/>
        <v>34</v>
      </c>
      <c r="P67" s="582">
        <f t="shared" si="55"/>
        <v>34</v>
      </c>
      <c r="Q67" s="582">
        <f t="shared" si="55"/>
        <v>39</v>
      </c>
      <c r="R67" s="582">
        <f t="shared" si="55"/>
        <v>39</v>
      </c>
      <c r="S67" s="582">
        <f t="shared" si="55"/>
        <v>45</v>
      </c>
      <c r="T67" s="582">
        <f t="shared" si="55"/>
        <v>45</v>
      </c>
      <c r="U67" s="582">
        <f t="shared" si="55"/>
        <v>45</v>
      </c>
      <c r="V67" s="582">
        <f t="shared" si="55"/>
        <v>45</v>
      </c>
      <c r="W67" s="582">
        <f t="shared" si="55"/>
        <v>45</v>
      </c>
      <c r="X67" s="329">
        <f t="shared" si="55"/>
        <v>39</v>
      </c>
      <c r="Y67" s="574">
        <f t="shared" si="55"/>
        <v>12</v>
      </c>
      <c r="Z67" s="90">
        <v>52</v>
      </c>
      <c r="AA67" s="20"/>
      <c r="AB67" s="7"/>
      <c r="AC67" s="7"/>
      <c r="AD67" s="18"/>
      <c r="AE67" s="7"/>
    </row>
    <row r="68" spans="1:46" s="11" customFormat="1" x14ac:dyDescent="0.2">
      <c r="A68" s="439" t="s">
        <v>199</v>
      </c>
      <c r="B68" s="62"/>
      <c r="C68" s="63"/>
      <c r="D68" s="63"/>
      <c r="E68" s="63"/>
      <c r="F68" s="63"/>
      <c r="G68" s="63"/>
      <c r="H68" s="63"/>
      <c r="I68" s="63"/>
      <c r="J68" s="63"/>
      <c r="K68" s="63"/>
      <c r="L68" s="63"/>
      <c r="M68" s="63"/>
      <c r="N68" s="63"/>
      <c r="O68" s="63"/>
      <c r="P68" s="63"/>
      <c r="Q68" s="63"/>
      <c r="R68" s="63"/>
      <c r="S68" s="63"/>
      <c r="T68" s="63"/>
      <c r="U68" s="63"/>
      <c r="V68" s="63"/>
      <c r="W68" s="63"/>
      <c r="X68" s="63"/>
      <c r="Y68" s="559"/>
      <c r="Z68" s="92">
        <v>53</v>
      </c>
      <c r="AA68" s="7"/>
      <c r="AB68" s="18"/>
      <c r="AC68" s="18"/>
      <c r="AD68" s="18"/>
      <c r="AE68" s="7"/>
    </row>
    <row r="69" spans="1:46" s="11" customFormat="1" ht="12" x14ac:dyDescent="0.2">
      <c r="A69" s="421" t="str">
        <f t="shared" ref="A69:A77" si="56">A105</f>
        <v>Pilot Upper Limit</v>
      </c>
      <c r="B69" s="17">
        <f t="shared" ref="B69:Y69" si="57">$B$105</f>
        <v>11</v>
      </c>
      <c r="C69" s="17">
        <f t="shared" si="57"/>
        <v>11</v>
      </c>
      <c r="D69" s="17">
        <f t="shared" si="57"/>
        <v>11</v>
      </c>
      <c r="E69" s="17">
        <f t="shared" si="57"/>
        <v>11</v>
      </c>
      <c r="F69" s="17">
        <f t="shared" si="57"/>
        <v>11</v>
      </c>
      <c r="G69" s="17">
        <f t="shared" si="57"/>
        <v>11</v>
      </c>
      <c r="H69" s="17">
        <f t="shared" si="57"/>
        <v>11</v>
      </c>
      <c r="I69" s="17">
        <f t="shared" si="57"/>
        <v>11</v>
      </c>
      <c r="J69" s="17">
        <f t="shared" si="57"/>
        <v>11</v>
      </c>
      <c r="K69" s="17">
        <f t="shared" si="57"/>
        <v>11</v>
      </c>
      <c r="L69" s="17">
        <f t="shared" si="57"/>
        <v>11</v>
      </c>
      <c r="M69" s="17">
        <f t="shared" si="57"/>
        <v>11</v>
      </c>
      <c r="N69" s="17">
        <f t="shared" si="57"/>
        <v>11</v>
      </c>
      <c r="O69" s="17">
        <f t="shared" si="57"/>
        <v>11</v>
      </c>
      <c r="P69" s="17">
        <f t="shared" si="57"/>
        <v>11</v>
      </c>
      <c r="Q69" s="17">
        <f t="shared" si="57"/>
        <v>11</v>
      </c>
      <c r="R69" s="17">
        <f t="shared" si="57"/>
        <v>11</v>
      </c>
      <c r="S69" s="17">
        <f t="shared" si="57"/>
        <v>11</v>
      </c>
      <c r="T69" s="17">
        <f t="shared" si="57"/>
        <v>11</v>
      </c>
      <c r="U69" s="17">
        <f t="shared" si="57"/>
        <v>11</v>
      </c>
      <c r="V69" s="17">
        <f t="shared" si="57"/>
        <v>11</v>
      </c>
      <c r="W69" s="17">
        <f t="shared" si="57"/>
        <v>11</v>
      </c>
      <c r="X69" s="330">
        <f t="shared" si="57"/>
        <v>11</v>
      </c>
      <c r="Y69" s="546">
        <f t="shared" si="57"/>
        <v>11</v>
      </c>
      <c r="Z69" s="90">
        <v>54</v>
      </c>
      <c r="AA69" s="7"/>
      <c r="AB69" s="18"/>
      <c r="AC69" s="18"/>
      <c r="AD69" s="18"/>
      <c r="AE69" s="7"/>
    </row>
    <row r="70" spans="1:46" s="11" customFormat="1" ht="12" x14ac:dyDescent="0.2">
      <c r="A70" s="427" t="str">
        <f t="shared" si="56"/>
        <v>Pilot Lower Limit</v>
      </c>
      <c r="B70" s="481">
        <f t="shared" ref="B70:Y70" si="58">ROUNDUP(IF(B$13="Deploy",MAX((B$99/100)*$B106,$B106),(B$99/100)*$B106),0)</f>
        <v>3</v>
      </c>
      <c r="C70" s="481">
        <f t="shared" si="58"/>
        <v>3</v>
      </c>
      <c r="D70" s="481">
        <f t="shared" si="58"/>
        <v>3</v>
      </c>
      <c r="E70" s="481">
        <f t="shared" si="58"/>
        <v>3</v>
      </c>
      <c r="F70" s="481">
        <f t="shared" si="58"/>
        <v>3</v>
      </c>
      <c r="G70" s="481">
        <f t="shared" si="58"/>
        <v>3</v>
      </c>
      <c r="H70" s="481">
        <f t="shared" si="58"/>
        <v>3</v>
      </c>
      <c r="I70" s="481">
        <f t="shared" si="58"/>
        <v>4</v>
      </c>
      <c r="J70" s="481">
        <f t="shared" si="58"/>
        <v>4</v>
      </c>
      <c r="K70" s="481">
        <f t="shared" si="58"/>
        <v>4</v>
      </c>
      <c r="L70" s="481">
        <f t="shared" si="58"/>
        <v>4</v>
      </c>
      <c r="M70" s="481">
        <f t="shared" si="58"/>
        <v>4</v>
      </c>
      <c r="N70" s="481">
        <f t="shared" si="58"/>
        <v>5</v>
      </c>
      <c r="O70" s="481">
        <f t="shared" si="58"/>
        <v>5</v>
      </c>
      <c r="P70" s="481">
        <f t="shared" si="58"/>
        <v>5</v>
      </c>
      <c r="Q70" s="481">
        <f t="shared" si="58"/>
        <v>5</v>
      </c>
      <c r="R70" s="481">
        <f t="shared" si="58"/>
        <v>5</v>
      </c>
      <c r="S70" s="481">
        <f t="shared" si="58"/>
        <v>5</v>
      </c>
      <c r="T70" s="481">
        <f t="shared" si="58"/>
        <v>5</v>
      </c>
      <c r="U70" s="481">
        <f t="shared" si="58"/>
        <v>5</v>
      </c>
      <c r="V70" s="481">
        <f t="shared" si="58"/>
        <v>5</v>
      </c>
      <c r="W70" s="481">
        <f t="shared" si="58"/>
        <v>4</v>
      </c>
      <c r="X70" s="479">
        <f t="shared" si="58"/>
        <v>4</v>
      </c>
      <c r="Y70" s="481">
        <f t="shared" si="58"/>
        <v>2</v>
      </c>
      <c r="Z70" s="90">
        <v>55</v>
      </c>
      <c r="AA70" s="7"/>
      <c r="AB70" s="18"/>
      <c r="AC70" s="18"/>
      <c r="AD70" s="18"/>
      <c r="AE70" s="7"/>
    </row>
    <row r="71" spans="1:46" s="11" customFormat="1" ht="12" x14ac:dyDescent="0.2">
      <c r="A71" s="421" t="str">
        <f t="shared" si="56"/>
        <v>NFO Upper Limit</v>
      </c>
      <c r="B71" s="482">
        <f t="shared" ref="B71:Y71" si="59">$B$107</f>
        <v>9</v>
      </c>
      <c r="C71" s="482">
        <f t="shared" si="59"/>
        <v>9</v>
      </c>
      <c r="D71" s="482">
        <f t="shared" si="59"/>
        <v>9</v>
      </c>
      <c r="E71" s="482">
        <f t="shared" si="59"/>
        <v>9</v>
      </c>
      <c r="F71" s="482">
        <f t="shared" si="59"/>
        <v>9</v>
      </c>
      <c r="G71" s="482">
        <f t="shared" si="59"/>
        <v>9</v>
      </c>
      <c r="H71" s="482">
        <f t="shared" si="59"/>
        <v>9</v>
      </c>
      <c r="I71" s="482">
        <f t="shared" si="59"/>
        <v>9</v>
      </c>
      <c r="J71" s="482">
        <f t="shared" si="59"/>
        <v>9</v>
      </c>
      <c r="K71" s="482">
        <f t="shared" si="59"/>
        <v>9</v>
      </c>
      <c r="L71" s="482">
        <f t="shared" si="59"/>
        <v>9</v>
      </c>
      <c r="M71" s="482">
        <f t="shared" si="59"/>
        <v>9</v>
      </c>
      <c r="N71" s="482">
        <f t="shared" si="59"/>
        <v>9</v>
      </c>
      <c r="O71" s="482">
        <f t="shared" si="59"/>
        <v>9</v>
      </c>
      <c r="P71" s="482">
        <f t="shared" si="59"/>
        <v>9</v>
      </c>
      <c r="Q71" s="482">
        <f t="shared" si="59"/>
        <v>9</v>
      </c>
      <c r="R71" s="482">
        <f t="shared" si="59"/>
        <v>9</v>
      </c>
      <c r="S71" s="482">
        <f t="shared" si="59"/>
        <v>9</v>
      </c>
      <c r="T71" s="482">
        <f t="shared" si="59"/>
        <v>9</v>
      </c>
      <c r="U71" s="482">
        <f t="shared" si="59"/>
        <v>9</v>
      </c>
      <c r="V71" s="482">
        <f t="shared" si="59"/>
        <v>9</v>
      </c>
      <c r="W71" s="482">
        <f t="shared" si="59"/>
        <v>9</v>
      </c>
      <c r="X71" s="483">
        <f t="shared" si="59"/>
        <v>9</v>
      </c>
      <c r="Y71" s="482">
        <f t="shared" si="59"/>
        <v>9</v>
      </c>
      <c r="Z71" s="92">
        <v>56</v>
      </c>
      <c r="AA71" s="7"/>
      <c r="AB71" s="18"/>
      <c r="AC71" s="18"/>
      <c r="AD71" s="18"/>
      <c r="AE71" s="18"/>
    </row>
    <row r="72" spans="1:46" s="11" customFormat="1" ht="12" x14ac:dyDescent="0.2">
      <c r="A72" s="427" t="str">
        <f t="shared" si="56"/>
        <v>NFO Lower Limit</v>
      </c>
      <c r="B72" s="481">
        <f t="shared" ref="B72:Y72" si="60">ROUNDUP(IF(B$13="Deploy",MAX((B$99/100)*$B108,$B108),(B$99/100)*$B108),0)</f>
        <v>3</v>
      </c>
      <c r="C72" s="481">
        <f t="shared" si="60"/>
        <v>3</v>
      </c>
      <c r="D72" s="481">
        <f t="shared" si="60"/>
        <v>3</v>
      </c>
      <c r="E72" s="481">
        <f t="shared" si="60"/>
        <v>3</v>
      </c>
      <c r="F72" s="481">
        <f t="shared" si="60"/>
        <v>3</v>
      </c>
      <c r="G72" s="481">
        <f t="shared" si="60"/>
        <v>3</v>
      </c>
      <c r="H72" s="481">
        <f t="shared" si="60"/>
        <v>3</v>
      </c>
      <c r="I72" s="481">
        <f t="shared" si="60"/>
        <v>4</v>
      </c>
      <c r="J72" s="481">
        <f t="shared" si="60"/>
        <v>4</v>
      </c>
      <c r="K72" s="481">
        <f t="shared" si="60"/>
        <v>4</v>
      </c>
      <c r="L72" s="481">
        <f t="shared" si="60"/>
        <v>4</v>
      </c>
      <c r="M72" s="481">
        <f t="shared" si="60"/>
        <v>4</v>
      </c>
      <c r="N72" s="481">
        <f t="shared" si="60"/>
        <v>5</v>
      </c>
      <c r="O72" s="481">
        <f t="shared" si="60"/>
        <v>5</v>
      </c>
      <c r="P72" s="481">
        <f t="shared" si="60"/>
        <v>5</v>
      </c>
      <c r="Q72" s="481">
        <f t="shared" si="60"/>
        <v>5</v>
      </c>
      <c r="R72" s="481">
        <f t="shared" si="60"/>
        <v>5</v>
      </c>
      <c r="S72" s="481">
        <f t="shared" si="60"/>
        <v>5</v>
      </c>
      <c r="T72" s="481">
        <f t="shared" si="60"/>
        <v>5</v>
      </c>
      <c r="U72" s="481">
        <f t="shared" si="60"/>
        <v>5</v>
      </c>
      <c r="V72" s="481">
        <f t="shared" si="60"/>
        <v>5</v>
      </c>
      <c r="W72" s="481">
        <f t="shared" si="60"/>
        <v>4</v>
      </c>
      <c r="X72" s="479">
        <f t="shared" si="60"/>
        <v>4</v>
      </c>
      <c r="Y72" s="481">
        <f t="shared" si="60"/>
        <v>2</v>
      </c>
      <c r="Z72" s="90">
        <v>57</v>
      </c>
      <c r="AA72" s="18"/>
      <c r="AB72" s="18"/>
      <c r="AC72" s="18"/>
      <c r="AD72" s="7"/>
      <c r="AE72" s="18"/>
    </row>
    <row r="73" spans="1:46" s="11" customFormat="1" ht="12" x14ac:dyDescent="0.2">
      <c r="A73" s="427" t="str">
        <f t="shared" si="56"/>
        <v>ACTC Level 5</v>
      </c>
      <c r="B73" s="481">
        <f>IF(B$13="Deploy",1,0)</f>
        <v>0</v>
      </c>
      <c r="C73" s="481">
        <f t="shared" ref="C73:Y73" si="61">IF(C$13="Deploy",1,0)</f>
        <v>0</v>
      </c>
      <c r="D73" s="481">
        <f t="shared" si="61"/>
        <v>0</v>
      </c>
      <c r="E73" s="481">
        <f t="shared" si="61"/>
        <v>0</v>
      </c>
      <c r="F73" s="481">
        <f t="shared" si="61"/>
        <v>0</v>
      </c>
      <c r="G73" s="481">
        <f t="shared" si="61"/>
        <v>0</v>
      </c>
      <c r="H73" s="481">
        <f t="shared" si="61"/>
        <v>0</v>
      </c>
      <c r="I73" s="481">
        <f t="shared" si="61"/>
        <v>0</v>
      </c>
      <c r="J73" s="481">
        <f t="shared" si="61"/>
        <v>0</v>
      </c>
      <c r="K73" s="481">
        <f t="shared" si="61"/>
        <v>0</v>
      </c>
      <c r="L73" s="481">
        <f t="shared" si="61"/>
        <v>0</v>
      </c>
      <c r="M73" s="481">
        <f t="shared" si="61"/>
        <v>0</v>
      </c>
      <c r="N73" s="481">
        <f t="shared" si="61"/>
        <v>0</v>
      </c>
      <c r="O73" s="481">
        <f t="shared" si="61"/>
        <v>0</v>
      </c>
      <c r="P73" s="481">
        <f t="shared" si="61"/>
        <v>0</v>
      </c>
      <c r="Q73" s="481">
        <f t="shared" si="61"/>
        <v>0</v>
      </c>
      <c r="R73" s="481">
        <f t="shared" si="61"/>
        <v>0</v>
      </c>
      <c r="S73" s="481">
        <f t="shared" si="61"/>
        <v>0</v>
      </c>
      <c r="T73" s="481">
        <f t="shared" si="61"/>
        <v>1</v>
      </c>
      <c r="U73" s="481">
        <f t="shared" si="61"/>
        <v>1</v>
      </c>
      <c r="V73" s="481">
        <f t="shared" si="61"/>
        <v>1</v>
      </c>
      <c r="W73" s="481">
        <f t="shared" si="61"/>
        <v>0</v>
      </c>
      <c r="X73" s="479">
        <f t="shared" si="61"/>
        <v>0</v>
      </c>
      <c r="Y73" s="481">
        <f t="shared" si="61"/>
        <v>0</v>
      </c>
      <c r="Z73" s="90">
        <v>58</v>
      </c>
      <c r="AA73" s="18"/>
      <c r="AB73" s="7"/>
      <c r="AC73" s="7"/>
      <c r="AD73" s="7"/>
      <c r="AE73" s="18"/>
    </row>
    <row r="74" spans="1:46" s="11" customFormat="1" ht="12" x14ac:dyDescent="0.2">
      <c r="A74" s="427" t="str">
        <f t="shared" si="56"/>
        <v>ACTC LEVEL &gt;= 4</v>
      </c>
      <c r="B74" s="481">
        <f t="shared" ref="B74:Y74" si="62">ROUNDUP(IF(B$13="Deploy",MAX((B$99/100)*$B110,$B110),(B$99/100)*$B110),0)</f>
        <v>3</v>
      </c>
      <c r="C74" s="481">
        <f t="shared" si="62"/>
        <v>3</v>
      </c>
      <c r="D74" s="481">
        <f t="shared" si="62"/>
        <v>3</v>
      </c>
      <c r="E74" s="481">
        <f t="shared" si="62"/>
        <v>3</v>
      </c>
      <c r="F74" s="481">
        <f t="shared" si="62"/>
        <v>3</v>
      </c>
      <c r="G74" s="481">
        <f t="shared" si="62"/>
        <v>3</v>
      </c>
      <c r="H74" s="481">
        <f t="shared" si="62"/>
        <v>3</v>
      </c>
      <c r="I74" s="481">
        <f t="shared" si="62"/>
        <v>4</v>
      </c>
      <c r="J74" s="481">
        <f t="shared" si="62"/>
        <v>4</v>
      </c>
      <c r="K74" s="481">
        <f t="shared" si="62"/>
        <v>4</v>
      </c>
      <c r="L74" s="481">
        <f t="shared" si="62"/>
        <v>4</v>
      </c>
      <c r="M74" s="481">
        <f t="shared" si="62"/>
        <v>4</v>
      </c>
      <c r="N74" s="481">
        <f t="shared" si="62"/>
        <v>5</v>
      </c>
      <c r="O74" s="481">
        <f t="shared" si="62"/>
        <v>5</v>
      </c>
      <c r="P74" s="481">
        <f t="shared" si="62"/>
        <v>5</v>
      </c>
      <c r="Q74" s="481">
        <f t="shared" si="62"/>
        <v>5</v>
      </c>
      <c r="R74" s="481">
        <f t="shared" si="62"/>
        <v>5</v>
      </c>
      <c r="S74" s="481">
        <f t="shared" si="62"/>
        <v>5</v>
      </c>
      <c r="T74" s="481">
        <f t="shared" si="62"/>
        <v>5</v>
      </c>
      <c r="U74" s="481">
        <f t="shared" si="62"/>
        <v>5</v>
      </c>
      <c r="V74" s="481">
        <f t="shared" si="62"/>
        <v>5</v>
      </c>
      <c r="W74" s="481">
        <f t="shared" si="62"/>
        <v>4</v>
      </c>
      <c r="X74" s="479">
        <f t="shared" si="62"/>
        <v>4</v>
      </c>
      <c r="Y74" s="481">
        <f t="shared" si="62"/>
        <v>2</v>
      </c>
      <c r="Z74" s="92">
        <v>59</v>
      </c>
      <c r="AA74" s="18"/>
      <c r="AB74" s="7"/>
      <c r="AC74" s="7"/>
      <c r="AD74" s="18"/>
      <c r="AE74" s="18"/>
    </row>
    <row r="75" spans="1:46" s="11" customFormat="1" ht="12" x14ac:dyDescent="0.2">
      <c r="A75" s="427" t="str">
        <f t="shared" si="56"/>
        <v>ACTC LEVEL &gt;= 3</v>
      </c>
      <c r="B75" s="481">
        <f t="shared" ref="B75:Y75" si="63">ROUNDUP(IF(B$13="Deploy",MAX((B$99/100)*$B111,$B111),(B$99/100)*$B111),0)</f>
        <v>6</v>
      </c>
      <c r="C75" s="481">
        <f t="shared" si="63"/>
        <v>5</v>
      </c>
      <c r="D75" s="481">
        <f t="shared" si="63"/>
        <v>5</v>
      </c>
      <c r="E75" s="481">
        <f t="shared" si="63"/>
        <v>5</v>
      </c>
      <c r="F75" s="481">
        <f t="shared" si="63"/>
        <v>5</v>
      </c>
      <c r="G75" s="481">
        <f t="shared" si="63"/>
        <v>6</v>
      </c>
      <c r="H75" s="481">
        <f t="shared" si="63"/>
        <v>6</v>
      </c>
      <c r="I75" s="481">
        <f t="shared" si="63"/>
        <v>6</v>
      </c>
      <c r="J75" s="481">
        <f t="shared" si="63"/>
        <v>6</v>
      </c>
      <c r="K75" s="481">
        <f t="shared" si="63"/>
        <v>7</v>
      </c>
      <c r="L75" s="481">
        <f t="shared" si="63"/>
        <v>7</v>
      </c>
      <c r="M75" s="481">
        <f t="shared" si="63"/>
        <v>7</v>
      </c>
      <c r="N75" s="481">
        <f t="shared" si="63"/>
        <v>8</v>
      </c>
      <c r="O75" s="481">
        <f t="shared" si="63"/>
        <v>8</v>
      </c>
      <c r="P75" s="481">
        <f t="shared" si="63"/>
        <v>9</v>
      </c>
      <c r="Q75" s="481">
        <f t="shared" si="63"/>
        <v>9</v>
      </c>
      <c r="R75" s="481">
        <f t="shared" si="63"/>
        <v>9</v>
      </c>
      <c r="S75" s="481">
        <f t="shared" si="63"/>
        <v>9</v>
      </c>
      <c r="T75" s="481">
        <f t="shared" si="63"/>
        <v>9</v>
      </c>
      <c r="U75" s="481">
        <f t="shared" si="63"/>
        <v>9</v>
      </c>
      <c r="V75" s="481">
        <f t="shared" si="63"/>
        <v>9</v>
      </c>
      <c r="W75" s="481">
        <f t="shared" si="63"/>
        <v>7</v>
      </c>
      <c r="X75" s="479">
        <f t="shared" si="63"/>
        <v>7</v>
      </c>
      <c r="Y75" s="481">
        <f t="shared" si="63"/>
        <v>4</v>
      </c>
      <c r="Z75" s="90">
        <v>60</v>
      </c>
      <c r="AA75" s="18"/>
      <c r="AB75" s="18"/>
      <c r="AC75" s="18"/>
      <c r="AE75" s="18"/>
    </row>
    <row r="76" spans="1:46" s="11" customFormat="1" ht="12" x14ac:dyDescent="0.2">
      <c r="A76" s="427" t="str">
        <f t="shared" si="56"/>
        <v>ACTC LEVEL &gt;= 2</v>
      </c>
      <c r="B76" s="481">
        <f t="shared" ref="B76:Y76" si="64">ROUNDUP(IF(B$13="Deploy",MAX((B$99/100)*$B112,$B112),(B$99/100)*$B112),0)</f>
        <v>9</v>
      </c>
      <c r="C76" s="481">
        <f t="shared" si="64"/>
        <v>8</v>
      </c>
      <c r="D76" s="481">
        <f t="shared" si="64"/>
        <v>7</v>
      </c>
      <c r="E76" s="481">
        <f t="shared" si="64"/>
        <v>7</v>
      </c>
      <c r="F76" s="481">
        <f t="shared" si="64"/>
        <v>7</v>
      </c>
      <c r="G76" s="481">
        <f t="shared" si="64"/>
        <v>9</v>
      </c>
      <c r="H76" s="481">
        <f t="shared" si="64"/>
        <v>9</v>
      </c>
      <c r="I76" s="481">
        <f t="shared" si="64"/>
        <v>9</v>
      </c>
      <c r="J76" s="481">
        <f t="shared" si="64"/>
        <v>9</v>
      </c>
      <c r="K76" s="481">
        <f t="shared" si="64"/>
        <v>10</v>
      </c>
      <c r="L76" s="481">
        <f t="shared" si="64"/>
        <v>10</v>
      </c>
      <c r="M76" s="481">
        <f t="shared" si="64"/>
        <v>10</v>
      </c>
      <c r="N76" s="481">
        <f t="shared" si="64"/>
        <v>12</v>
      </c>
      <c r="O76" s="481">
        <f t="shared" si="64"/>
        <v>12</v>
      </c>
      <c r="P76" s="481">
        <f t="shared" si="64"/>
        <v>14</v>
      </c>
      <c r="Q76" s="481">
        <f t="shared" si="64"/>
        <v>14</v>
      </c>
      <c r="R76" s="481">
        <f t="shared" si="64"/>
        <v>14</v>
      </c>
      <c r="S76" s="481">
        <f t="shared" si="64"/>
        <v>14</v>
      </c>
      <c r="T76" s="481">
        <f t="shared" si="64"/>
        <v>14</v>
      </c>
      <c r="U76" s="481">
        <f t="shared" si="64"/>
        <v>14</v>
      </c>
      <c r="V76" s="481">
        <f t="shared" si="64"/>
        <v>14</v>
      </c>
      <c r="W76" s="481">
        <f t="shared" si="64"/>
        <v>10</v>
      </c>
      <c r="X76" s="479">
        <f t="shared" si="64"/>
        <v>10</v>
      </c>
      <c r="Y76" s="481">
        <f t="shared" si="64"/>
        <v>6</v>
      </c>
      <c r="Z76" s="90">
        <v>61</v>
      </c>
      <c r="AA76" s="18"/>
    </row>
    <row r="77" spans="1:46" s="11" customFormat="1" ht="12" x14ac:dyDescent="0.2">
      <c r="A77" s="427" t="str">
        <f t="shared" si="56"/>
        <v>CVW STK Lead</v>
      </c>
      <c r="B77" s="481" t="s">
        <v>200</v>
      </c>
      <c r="C77" s="481" t="s">
        <v>200</v>
      </c>
      <c r="D77" s="481" t="s">
        <v>200</v>
      </c>
      <c r="E77" s="481" t="s">
        <v>200</v>
      </c>
      <c r="F77" s="481" t="s">
        <v>200</v>
      </c>
      <c r="G77" s="481" t="s">
        <v>200</v>
      </c>
      <c r="H77" s="481" t="s">
        <v>200</v>
      </c>
      <c r="I77" s="481" t="s">
        <v>200</v>
      </c>
      <c r="J77" s="481" t="s">
        <v>200</v>
      </c>
      <c r="K77" s="481" t="s">
        <v>200</v>
      </c>
      <c r="L77" s="481" t="s">
        <v>200</v>
      </c>
      <c r="M77" s="481" t="s">
        <v>200</v>
      </c>
      <c r="N77" s="481" t="s">
        <v>200</v>
      </c>
      <c r="O77" s="481" t="s">
        <v>200</v>
      </c>
      <c r="P77" s="481" t="s">
        <v>200</v>
      </c>
      <c r="Q77" s="481" t="s">
        <v>200</v>
      </c>
      <c r="R77" s="481" t="s">
        <v>200</v>
      </c>
      <c r="S77" s="481" t="s">
        <v>200</v>
      </c>
      <c r="T77" s="481" t="s">
        <v>200</v>
      </c>
      <c r="U77" s="481" t="s">
        <v>200</v>
      </c>
      <c r="V77" s="481" t="s">
        <v>200</v>
      </c>
      <c r="W77" s="481" t="s">
        <v>200</v>
      </c>
      <c r="X77" s="479" t="s">
        <v>200</v>
      </c>
      <c r="Y77" s="481" t="s">
        <v>200</v>
      </c>
      <c r="Z77" s="92">
        <v>62</v>
      </c>
      <c r="AF77" s="274"/>
      <c r="AG77" s="274"/>
      <c r="AH77" s="274"/>
      <c r="AI77" s="274"/>
      <c r="AJ77" s="274"/>
      <c r="AK77" s="274"/>
    </row>
    <row r="78" spans="1:46" s="263" customFormat="1" ht="12" x14ac:dyDescent="0.2">
      <c r="A78" s="427" t="str">
        <f>A114</f>
        <v>NVD QUALIFIED AIRCREW</v>
      </c>
      <c r="B78" s="481">
        <f t="shared" ref="B78:Y78" si="65">ROUNDUP(IF(B$13="Deploy",MAX((B$99/100)*$B114,$B114),(B$99/100)*$B114),0)</f>
        <v>9</v>
      </c>
      <c r="C78" s="481">
        <f t="shared" si="65"/>
        <v>8</v>
      </c>
      <c r="D78" s="481">
        <f t="shared" si="65"/>
        <v>7</v>
      </c>
      <c r="E78" s="481">
        <f t="shared" si="65"/>
        <v>7</v>
      </c>
      <c r="F78" s="481">
        <f t="shared" si="65"/>
        <v>7</v>
      </c>
      <c r="G78" s="481">
        <f t="shared" si="65"/>
        <v>9</v>
      </c>
      <c r="H78" s="481">
        <f t="shared" si="65"/>
        <v>9</v>
      </c>
      <c r="I78" s="481">
        <f t="shared" si="65"/>
        <v>9</v>
      </c>
      <c r="J78" s="481">
        <f t="shared" si="65"/>
        <v>9</v>
      </c>
      <c r="K78" s="481">
        <f t="shared" si="65"/>
        <v>10</v>
      </c>
      <c r="L78" s="481">
        <f t="shared" si="65"/>
        <v>10</v>
      </c>
      <c r="M78" s="481">
        <f t="shared" si="65"/>
        <v>10</v>
      </c>
      <c r="N78" s="481">
        <f t="shared" si="65"/>
        <v>12</v>
      </c>
      <c r="O78" s="481">
        <f t="shared" si="65"/>
        <v>12</v>
      </c>
      <c r="P78" s="481">
        <f t="shared" si="65"/>
        <v>14</v>
      </c>
      <c r="Q78" s="481">
        <f t="shared" si="65"/>
        <v>14</v>
      </c>
      <c r="R78" s="481">
        <f t="shared" si="65"/>
        <v>14</v>
      </c>
      <c r="S78" s="481">
        <f t="shared" si="65"/>
        <v>14</v>
      </c>
      <c r="T78" s="481">
        <f t="shared" si="65"/>
        <v>14</v>
      </c>
      <c r="U78" s="481">
        <f t="shared" si="65"/>
        <v>14</v>
      </c>
      <c r="V78" s="481">
        <f t="shared" si="65"/>
        <v>14</v>
      </c>
      <c r="W78" s="481">
        <f t="shared" si="65"/>
        <v>10</v>
      </c>
      <c r="X78" s="479">
        <f t="shared" si="65"/>
        <v>10</v>
      </c>
      <c r="Y78" s="481">
        <f t="shared" si="65"/>
        <v>6</v>
      </c>
      <c r="Z78" s="90">
        <v>63</v>
      </c>
      <c r="AA78" s="11"/>
      <c r="AB78" s="11"/>
      <c r="AC78" s="11"/>
      <c r="AD78" s="11"/>
      <c r="AE78" s="11"/>
      <c r="AF78" s="278"/>
      <c r="AG78" s="278"/>
      <c r="AH78" s="278"/>
      <c r="AI78" s="278"/>
      <c r="AJ78" s="278"/>
      <c r="AK78" s="278"/>
      <c r="AL78" s="274"/>
      <c r="AM78" s="274"/>
      <c r="AN78" s="274"/>
      <c r="AO78" s="274"/>
      <c r="AP78" s="274"/>
      <c r="AQ78" s="274"/>
      <c r="AR78" s="274"/>
      <c r="AS78" s="274"/>
      <c r="AT78" s="274"/>
    </row>
    <row r="79" spans="1:46" s="278" customFormat="1" ht="12" x14ac:dyDescent="0.2">
      <c r="A79" s="427" t="str">
        <f>A115</f>
        <v>JHMCS</v>
      </c>
      <c r="B79" s="481">
        <f t="shared" ref="B79:Y79" si="66">ROUNDUP(IF(B$13="Deploy",MAX((B$99/100)*$B115,$B115),(B$99/100)*$B115),0)</f>
        <v>9</v>
      </c>
      <c r="C79" s="481">
        <f t="shared" si="66"/>
        <v>8</v>
      </c>
      <c r="D79" s="481">
        <f t="shared" si="66"/>
        <v>7</v>
      </c>
      <c r="E79" s="481">
        <f t="shared" si="66"/>
        <v>7</v>
      </c>
      <c r="F79" s="481">
        <f t="shared" si="66"/>
        <v>7</v>
      </c>
      <c r="G79" s="481">
        <f t="shared" si="66"/>
        <v>9</v>
      </c>
      <c r="H79" s="481">
        <f t="shared" si="66"/>
        <v>9</v>
      </c>
      <c r="I79" s="481">
        <f t="shared" si="66"/>
        <v>9</v>
      </c>
      <c r="J79" s="481">
        <f t="shared" si="66"/>
        <v>9</v>
      </c>
      <c r="K79" s="481">
        <f t="shared" si="66"/>
        <v>10</v>
      </c>
      <c r="L79" s="481">
        <f t="shared" si="66"/>
        <v>10</v>
      </c>
      <c r="M79" s="481">
        <f t="shared" si="66"/>
        <v>10</v>
      </c>
      <c r="N79" s="481">
        <f t="shared" si="66"/>
        <v>12</v>
      </c>
      <c r="O79" s="481">
        <f t="shared" si="66"/>
        <v>12</v>
      </c>
      <c r="P79" s="481">
        <f t="shared" si="66"/>
        <v>14</v>
      </c>
      <c r="Q79" s="481">
        <f t="shared" si="66"/>
        <v>14</v>
      </c>
      <c r="R79" s="481">
        <f t="shared" si="66"/>
        <v>14</v>
      </c>
      <c r="S79" s="481">
        <f t="shared" si="66"/>
        <v>14</v>
      </c>
      <c r="T79" s="481">
        <f t="shared" si="66"/>
        <v>14</v>
      </c>
      <c r="U79" s="481">
        <f t="shared" si="66"/>
        <v>14</v>
      </c>
      <c r="V79" s="481">
        <f t="shared" si="66"/>
        <v>14</v>
      </c>
      <c r="W79" s="481">
        <f t="shared" si="66"/>
        <v>10</v>
      </c>
      <c r="X79" s="479">
        <f t="shared" si="66"/>
        <v>10</v>
      </c>
      <c r="Y79" s="481">
        <f t="shared" si="66"/>
        <v>6</v>
      </c>
      <c r="Z79" s="90">
        <v>64</v>
      </c>
      <c r="AA79" s="11"/>
      <c r="AB79" s="11"/>
      <c r="AC79" s="11"/>
      <c r="AD79" s="274"/>
      <c r="AE79" s="11"/>
      <c r="AF79" s="274"/>
      <c r="AG79" s="274"/>
      <c r="AH79" s="274"/>
      <c r="AI79" s="274"/>
      <c r="AJ79" s="274"/>
      <c r="AK79" s="274"/>
    </row>
    <row r="80" spans="1:46" s="263" customFormat="1" ht="12" x14ac:dyDescent="0.2">
      <c r="A80" s="427" t="str">
        <f t="shared" ref="A80" si="67">A116</f>
        <v>Required Skilled Crews</v>
      </c>
      <c r="B80" s="481">
        <f t="shared" ref="B80:Y80" si="68">ROUNDUP(IF(B$13="Deploy",MAX((B$99/100)*$B116,$B116),(B$99/100)*$B116),0)</f>
        <v>5</v>
      </c>
      <c r="C80" s="481">
        <f t="shared" si="68"/>
        <v>5</v>
      </c>
      <c r="D80" s="481">
        <f t="shared" si="68"/>
        <v>4</v>
      </c>
      <c r="E80" s="481">
        <f t="shared" si="68"/>
        <v>4</v>
      </c>
      <c r="F80" s="481">
        <f t="shared" si="68"/>
        <v>4</v>
      </c>
      <c r="G80" s="481">
        <f t="shared" si="68"/>
        <v>5</v>
      </c>
      <c r="H80" s="481">
        <f t="shared" si="68"/>
        <v>5</v>
      </c>
      <c r="I80" s="481">
        <f t="shared" si="68"/>
        <v>5</v>
      </c>
      <c r="J80" s="481">
        <f t="shared" si="68"/>
        <v>5</v>
      </c>
      <c r="K80" s="481">
        <f t="shared" si="68"/>
        <v>6</v>
      </c>
      <c r="L80" s="481">
        <f t="shared" si="68"/>
        <v>6</v>
      </c>
      <c r="M80" s="481">
        <f t="shared" si="68"/>
        <v>6</v>
      </c>
      <c r="N80" s="481">
        <f t="shared" si="68"/>
        <v>7</v>
      </c>
      <c r="O80" s="481">
        <f t="shared" si="68"/>
        <v>7</v>
      </c>
      <c r="P80" s="481">
        <f t="shared" si="68"/>
        <v>8</v>
      </c>
      <c r="Q80" s="481">
        <f t="shared" si="68"/>
        <v>8</v>
      </c>
      <c r="R80" s="481">
        <f t="shared" si="68"/>
        <v>8</v>
      </c>
      <c r="S80" s="481">
        <f t="shared" si="68"/>
        <v>8</v>
      </c>
      <c r="T80" s="481">
        <f t="shared" si="68"/>
        <v>8</v>
      </c>
      <c r="U80" s="481">
        <f t="shared" si="68"/>
        <v>8</v>
      </c>
      <c r="V80" s="481">
        <f t="shared" si="68"/>
        <v>8</v>
      </c>
      <c r="W80" s="481">
        <f t="shared" si="68"/>
        <v>6</v>
      </c>
      <c r="X80" s="479">
        <f t="shared" si="68"/>
        <v>6</v>
      </c>
      <c r="Y80" s="481">
        <f t="shared" si="68"/>
        <v>3</v>
      </c>
      <c r="Z80" s="92">
        <v>65</v>
      </c>
      <c r="AA80" s="11"/>
      <c r="AB80" s="299"/>
      <c r="AC80" s="299"/>
      <c r="AD80" s="278"/>
      <c r="AE80" s="274"/>
      <c r="AF80" s="274"/>
      <c r="AG80" s="274"/>
      <c r="AH80" s="274"/>
      <c r="AI80" s="274"/>
      <c r="AJ80" s="274"/>
      <c r="AK80" s="274"/>
      <c r="AL80" s="274"/>
      <c r="AM80" s="274"/>
      <c r="AN80" s="274"/>
      <c r="AO80" s="274"/>
      <c r="AP80" s="274"/>
      <c r="AQ80" s="274"/>
      <c r="AR80" s="274"/>
      <c r="AS80" s="274"/>
      <c r="AT80" s="274"/>
    </row>
    <row r="81" spans="1:46" s="263" customFormat="1" x14ac:dyDescent="0.2">
      <c r="A81" s="484" t="s">
        <v>202</v>
      </c>
      <c r="B81" s="485"/>
      <c r="C81" s="292"/>
      <c r="D81" s="292"/>
      <c r="E81" s="292"/>
      <c r="F81" s="292"/>
      <c r="G81" s="293"/>
      <c r="H81" s="293"/>
      <c r="I81" s="293"/>
      <c r="J81" s="293"/>
      <c r="K81" s="293"/>
      <c r="L81" s="293"/>
      <c r="M81" s="293"/>
      <c r="N81" s="293"/>
      <c r="O81" s="293"/>
      <c r="P81" s="294"/>
      <c r="Q81" s="294"/>
      <c r="R81" s="295"/>
      <c r="S81" s="295"/>
      <c r="T81" s="295"/>
      <c r="U81" s="295"/>
      <c r="V81" s="295"/>
      <c r="W81" s="295"/>
      <c r="X81" s="295"/>
      <c r="Y81" s="486"/>
      <c r="Z81" s="299"/>
      <c r="AA81" s="299"/>
      <c r="AB81" s="300"/>
      <c r="AC81" s="300"/>
      <c r="AD81" s="274"/>
      <c r="AE81" s="278"/>
      <c r="AF81" s="278"/>
      <c r="AG81" s="278"/>
      <c r="AH81" s="278"/>
      <c r="AI81" s="278"/>
      <c r="AJ81" s="278"/>
      <c r="AK81" s="278"/>
      <c r="AL81" s="274"/>
      <c r="AM81" s="274"/>
      <c r="AN81" s="274"/>
      <c r="AO81" s="274"/>
      <c r="AP81" s="274"/>
      <c r="AQ81" s="274"/>
      <c r="AR81" s="274"/>
      <c r="AS81" s="274"/>
      <c r="AT81" s="274"/>
    </row>
    <row r="82" spans="1:46" s="278" customFormat="1" ht="12" x14ac:dyDescent="0.2">
      <c r="A82" s="427" t="s">
        <v>203</v>
      </c>
      <c r="B82" s="296">
        <v>0.9</v>
      </c>
      <c r="C82" s="296">
        <v>0.9</v>
      </c>
      <c r="D82" s="296">
        <v>0.9</v>
      </c>
      <c r="E82" s="296">
        <v>0.9</v>
      </c>
      <c r="F82" s="296">
        <v>0.9</v>
      </c>
      <c r="G82" s="296">
        <v>0.9</v>
      </c>
      <c r="H82" s="296">
        <v>0.9</v>
      </c>
      <c r="I82" s="296">
        <v>0.9</v>
      </c>
      <c r="J82" s="296">
        <v>0.9</v>
      </c>
      <c r="K82" s="296">
        <v>0.9</v>
      </c>
      <c r="L82" s="296">
        <v>0.9</v>
      </c>
      <c r="M82" s="296">
        <v>0.9</v>
      </c>
      <c r="N82" s="296">
        <v>0.9</v>
      </c>
      <c r="O82" s="296">
        <v>0.9</v>
      </c>
      <c r="P82" s="296">
        <v>0.9</v>
      </c>
      <c r="Q82" s="296">
        <v>0.9</v>
      </c>
      <c r="R82" s="296">
        <v>0.9</v>
      </c>
      <c r="S82" s="296">
        <v>0.9</v>
      </c>
      <c r="T82" s="296">
        <v>0.9</v>
      </c>
      <c r="U82" s="296">
        <v>0.9</v>
      </c>
      <c r="V82" s="296">
        <v>0.9</v>
      </c>
      <c r="W82" s="296">
        <v>0.9</v>
      </c>
      <c r="X82" s="331">
        <v>0.9</v>
      </c>
      <c r="Y82" s="487">
        <v>0.9</v>
      </c>
      <c r="Z82" s="287"/>
      <c r="AA82" s="300"/>
      <c r="AB82" s="300"/>
      <c r="AC82" s="300"/>
      <c r="AD82" s="274"/>
      <c r="AE82" s="274"/>
      <c r="AF82" s="7"/>
      <c r="AG82" s="7"/>
      <c r="AH82" s="7"/>
      <c r="AI82" s="7"/>
      <c r="AJ82" s="7"/>
      <c r="AK82" s="7"/>
    </row>
    <row r="83" spans="1:46" ht="12" x14ac:dyDescent="0.2">
      <c r="A83" s="427" t="s">
        <v>204</v>
      </c>
      <c r="B83" s="487">
        <v>0.9</v>
      </c>
      <c r="C83" s="487">
        <v>0.9</v>
      </c>
      <c r="D83" s="487">
        <v>0.9</v>
      </c>
      <c r="E83" s="487">
        <v>0.9</v>
      </c>
      <c r="F83" s="487">
        <v>0.9</v>
      </c>
      <c r="G83" s="487">
        <v>0.9</v>
      </c>
      <c r="H83" s="487">
        <v>0.9</v>
      </c>
      <c r="I83" s="487">
        <v>0.9</v>
      </c>
      <c r="J83" s="487">
        <v>0.9</v>
      </c>
      <c r="K83" s="487">
        <v>0.9</v>
      </c>
      <c r="L83" s="487">
        <v>0.9</v>
      </c>
      <c r="M83" s="487">
        <v>0.9</v>
      </c>
      <c r="N83" s="487">
        <v>0.9</v>
      </c>
      <c r="O83" s="487">
        <v>0.9</v>
      </c>
      <c r="P83" s="487">
        <v>0.9</v>
      </c>
      <c r="Q83" s="487">
        <v>0.9</v>
      </c>
      <c r="R83" s="487">
        <v>0.9</v>
      </c>
      <c r="S83" s="487">
        <v>0.9</v>
      </c>
      <c r="T83" s="487">
        <v>0.9</v>
      </c>
      <c r="U83" s="487">
        <v>0.9</v>
      </c>
      <c r="V83" s="487">
        <v>0.9</v>
      </c>
      <c r="W83" s="487">
        <v>0.9</v>
      </c>
      <c r="X83" s="488">
        <v>0.9</v>
      </c>
      <c r="Y83" s="487">
        <v>0.9</v>
      </c>
      <c r="Z83" s="287"/>
      <c r="AA83" s="300"/>
      <c r="AB83" s="300"/>
      <c r="AC83" s="300"/>
      <c r="AD83" s="278"/>
      <c r="AE83" s="274"/>
    </row>
    <row r="84" spans="1:46" x14ac:dyDescent="0.2">
      <c r="A84" s="427" t="s">
        <v>205</v>
      </c>
      <c r="B84" s="487">
        <v>0.75</v>
      </c>
      <c r="C84" s="487">
        <v>0.75</v>
      </c>
      <c r="D84" s="487">
        <v>0.75</v>
      </c>
      <c r="E84" s="487">
        <v>0.75</v>
      </c>
      <c r="F84" s="487">
        <v>0.75</v>
      </c>
      <c r="G84" s="487">
        <v>0.75</v>
      </c>
      <c r="H84" s="487">
        <v>0.75</v>
      </c>
      <c r="I84" s="487">
        <v>0.75</v>
      </c>
      <c r="J84" s="487">
        <v>0.75</v>
      </c>
      <c r="K84" s="487">
        <v>0.75</v>
      </c>
      <c r="L84" s="487">
        <v>0.75</v>
      </c>
      <c r="M84" s="487">
        <v>0.75</v>
      </c>
      <c r="N84" s="487">
        <v>0.75</v>
      </c>
      <c r="O84" s="487">
        <v>0.75</v>
      </c>
      <c r="P84" s="487">
        <v>0.75</v>
      </c>
      <c r="Q84" s="487">
        <v>0.75</v>
      </c>
      <c r="R84" s="487">
        <v>0.75</v>
      </c>
      <c r="S84" s="487">
        <v>0.75</v>
      </c>
      <c r="T84" s="487">
        <v>0.75</v>
      </c>
      <c r="U84" s="487">
        <v>0.75</v>
      </c>
      <c r="V84" s="487">
        <v>0.75</v>
      </c>
      <c r="W84" s="487">
        <v>0.75</v>
      </c>
      <c r="X84" s="488">
        <v>0.75</v>
      </c>
      <c r="Y84" s="487">
        <v>0.75</v>
      </c>
      <c r="Z84" s="287"/>
      <c r="AA84" s="300"/>
      <c r="AB84" s="300"/>
      <c r="AC84" s="300"/>
      <c r="AD84" s="121"/>
      <c r="AE84" s="11"/>
    </row>
    <row r="85" spans="1:46" x14ac:dyDescent="0.2">
      <c r="A85" s="183"/>
      <c r="B85" s="177"/>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90"/>
      <c r="AA85" s="11"/>
      <c r="AB85" s="121"/>
      <c r="AC85" s="121"/>
      <c r="AD85" s="121"/>
      <c r="AE85" s="11"/>
      <c r="AF85" s="11"/>
      <c r="AG85" s="11"/>
      <c r="AH85" s="11"/>
      <c r="AI85" s="11"/>
      <c r="AJ85" s="11"/>
      <c r="AK85" s="11"/>
    </row>
    <row r="86" spans="1:46" s="11" customFormat="1" x14ac:dyDescent="0.2">
      <c r="A86" s="41"/>
      <c r="B86" s="41"/>
      <c r="C86" s="41"/>
      <c r="D86" s="41"/>
      <c r="E86" s="184" t="s">
        <v>207</v>
      </c>
      <c r="F86" s="173"/>
      <c r="G86" s="121"/>
      <c r="H86" s="86"/>
      <c r="I86" s="114"/>
      <c r="J86" s="114"/>
      <c r="K86" s="173"/>
      <c r="L86" s="173"/>
      <c r="M86" s="185"/>
      <c r="N86" s="86"/>
      <c r="O86" s="41"/>
      <c r="P86" s="41"/>
      <c r="Q86" s="41"/>
      <c r="R86" s="41"/>
      <c r="S86" s="41"/>
      <c r="T86" s="41"/>
      <c r="U86" s="41"/>
      <c r="V86" s="41"/>
      <c r="W86" s="18"/>
      <c r="X86" s="18"/>
      <c r="Y86" s="18"/>
      <c r="Z86" s="92"/>
      <c r="AB86" s="121"/>
      <c r="AC86" s="121"/>
      <c r="AD86" s="7"/>
      <c r="AE86" s="121"/>
    </row>
    <row r="87" spans="1:46" s="11" customFormat="1" x14ac:dyDescent="0.2">
      <c r="A87" s="41"/>
      <c r="B87" s="41"/>
      <c r="C87" s="41"/>
      <c r="D87" s="41"/>
      <c r="E87" s="175" t="s">
        <v>209</v>
      </c>
      <c r="F87" s="85"/>
      <c r="G87" s="174" t="s">
        <v>210</v>
      </c>
      <c r="H87" s="7"/>
      <c r="I87" s="117"/>
      <c r="J87" s="114"/>
      <c r="K87" s="173"/>
      <c r="L87" s="173"/>
      <c r="M87" s="186"/>
      <c r="N87" s="117"/>
      <c r="O87" s="41"/>
      <c r="P87" s="41"/>
      <c r="Q87" s="41"/>
      <c r="R87" s="41"/>
      <c r="S87" s="41"/>
      <c r="T87" s="41"/>
      <c r="U87" s="41"/>
      <c r="V87" s="41"/>
      <c r="W87" s="7"/>
      <c r="X87" s="7"/>
      <c r="Y87" s="7"/>
      <c r="Z87" s="85"/>
      <c r="AA87" s="121"/>
      <c r="AB87" s="7"/>
      <c r="AC87" s="7"/>
      <c r="AD87" s="99"/>
      <c r="AE87" s="85"/>
    </row>
    <row r="88" spans="1:46" s="11" customFormat="1" x14ac:dyDescent="0.2">
      <c r="A88" s="187" t="s">
        <v>206</v>
      </c>
      <c r="B88" s="41"/>
      <c r="C88" s="41"/>
      <c r="D88" s="41"/>
      <c r="E88" s="175" t="s">
        <v>211</v>
      </c>
      <c r="F88" s="85"/>
      <c r="G88" s="118" t="s">
        <v>212</v>
      </c>
      <c r="H88" s="7"/>
      <c r="I88" s="117"/>
      <c r="J88" s="114"/>
      <c r="K88" s="173"/>
      <c r="L88" s="173"/>
      <c r="M88" s="178"/>
      <c r="N88" s="117"/>
      <c r="O88" s="41"/>
      <c r="P88" s="41"/>
      <c r="Q88" s="41"/>
      <c r="R88" s="41"/>
      <c r="S88" s="41"/>
      <c r="T88" s="41"/>
      <c r="U88" s="41"/>
      <c r="V88" s="41"/>
      <c r="W88" s="7"/>
      <c r="X88" s="7"/>
      <c r="Y88" s="7"/>
      <c r="Z88" s="85"/>
      <c r="AA88" s="85"/>
      <c r="AB88" s="99"/>
      <c r="AC88" s="99"/>
      <c r="AD88" s="7"/>
      <c r="AE88" s="85"/>
    </row>
    <row r="89" spans="1:46" s="11" customFormat="1" x14ac:dyDescent="0.2">
      <c r="A89" s="174" t="s">
        <v>279</v>
      </c>
      <c r="B89" s="41"/>
      <c r="C89" s="41"/>
      <c r="D89" s="41"/>
      <c r="E89" s="175" t="s">
        <v>213</v>
      </c>
      <c r="F89" s="85"/>
      <c r="G89" s="188" t="s">
        <v>214</v>
      </c>
      <c r="H89" s="7"/>
      <c r="I89" s="86"/>
      <c r="J89" s="86"/>
      <c r="K89" s="86"/>
      <c r="L89" s="86"/>
      <c r="M89" s="41"/>
      <c r="N89" s="86"/>
      <c r="O89" s="41"/>
      <c r="P89" s="41"/>
      <c r="Q89" s="41"/>
      <c r="R89" s="41"/>
      <c r="S89" s="41"/>
      <c r="T89" s="41"/>
      <c r="U89" s="41"/>
      <c r="V89" s="41"/>
      <c r="W89" s="7"/>
      <c r="X89" s="7"/>
      <c r="Y89" s="7"/>
      <c r="Z89" s="85"/>
      <c r="AA89" s="85"/>
      <c r="AB89" s="7"/>
      <c r="AC89" s="7"/>
      <c r="AD89" s="7"/>
      <c r="AE89" s="85"/>
    </row>
    <row r="90" spans="1:46" s="11" customFormat="1" x14ac:dyDescent="0.2">
      <c r="A90" s="41"/>
      <c r="B90" s="86"/>
      <c r="C90" s="86"/>
      <c r="D90" s="86"/>
      <c r="E90" s="175" t="s">
        <v>215</v>
      </c>
      <c r="F90" s="85"/>
      <c r="G90" s="188" t="s">
        <v>216</v>
      </c>
      <c r="H90" s="7"/>
      <c r="I90" s="86"/>
      <c r="J90" s="86"/>
      <c r="K90" s="86"/>
      <c r="L90" s="86"/>
      <c r="M90" s="41"/>
      <c r="N90" s="86"/>
      <c r="O90" s="86"/>
      <c r="P90" s="41"/>
      <c r="Q90" s="41"/>
      <c r="R90" s="41"/>
      <c r="S90" s="41"/>
      <c r="T90" s="41"/>
      <c r="U90" s="41"/>
      <c r="V90" s="41"/>
      <c r="W90" s="7"/>
      <c r="X90" s="7"/>
      <c r="Y90" s="7"/>
      <c r="Z90" s="85"/>
      <c r="AA90" s="85"/>
      <c r="AB90" s="7"/>
      <c r="AC90" s="7"/>
      <c r="AD90" s="7"/>
      <c r="AE90" s="7"/>
    </row>
    <row r="91" spans="1:46" s="11" customFormat="1" x14ac:dyDescent="0.2">
      <c r="A91" s="41"/>
      <c r="B91" s="86"/>
      <c r="C91" s="86"/>
      <c r="D91" s="86"/>
      <c r="E91" s="86"/>
      <c r="F91" s="86"/>
      <c r="G91" s="86"/>
      <c r="H91" s="41"/>
      <c r="I91" s="86"/>
      <c r="J91" s="86"/>
      <c r="K91" s="86"/>
      <c r="L91" s="86"/>
      <c r="M91" s="41"/>
      <c r="N91" s="86"/>
      <c r="O91" s="86"/>
      <c r="P91" s="41"/>
      <c r="Q91" s="41"/>
      <c r="R91" s="41"/>
      <c r="S91" s="41"/>
      <c r="T91" s="41"/>
      <c r="U91" s="41"/>
      <c r="V91" s="41"/>
      <c r="W91" s="175"/>
      <c r="X91" s="85"/>
      <c r="Y91" s="7"/>
      <c r="Z91" s="85"/>
      <c r="AA91" s="7"/>
      <c r="AB91" s="7"/>
      <c r="AC91" s="7"/>
      <c r="AD91" s="7"/>
      <c r="AE91" s="99"/>
    </row>
    <row r="92" spans="1:46" s="11" customFormat="1" ht="13.5" thickBot="1" x14ac:dyDescent="0.25">
      <c r="A92" s="7"/>
      <c r="B92" s="7"/>
      <c r="C92" s="7"/>
      <c r="D92" s="7"/>
      <c r="E92" s="7"/>
      <c r="F92" s="7"/>
      <c r="G92" s="7"/>
      <c r="H92" s="7"/>
      <c r="I92" s="7"/>
      <c r="J92" s="7"/>
      <c r="K92" s="7"/>
      <c r="L92" s="7"/>
      <c r="M92" s="7"/>
      <c r="N92" s="7"/>
      <c r="O92" s="7"/>
      <c r="P92" s="7"/>
      <c r="Q92" s="7"/>
      <c r="R92" s="7"/>
      <c r="S92" s="7"/>
      <c r="T92" s="7"/>
      <c r="U92" s="7"/>
      <c r="V92" s="7"/>
      <c r="W92" s="7"/>
      <c r="X92" s="7"/>
      <c r="Y92" s="7"/>
      <c r="Z92" s="85"/>
      <c r="AA92" s="99"/>
      <c r="AB92" s="7"/>
      <c r="AC92" s="7"/>
      <c r="AD92" s="7"/>
      <c r="AE92" s="7"/>
      <c r="AF92" s="18"/>
      <c r="AG92" s="18"/>
      <c r="AH92" s="18"/>
      <c r="AI92" s="18"/>
      <c r="AJ92" s="18"/>
      <c r="AK92" s="18"/>
    </row>
    <row r="93" spans="1:46" s="18" customFormat="1" ht="13.5" thickBot="1" x14ac:dyDescent="0.25">
      <c r="A93" s="666" t="s">
        <v>217</v>
      </c>
      <c r="B93" s="667"/>
      <c r="C93" s="667"/>
      <c r="D93" s="667"/>
      <c r="E93" s="667"/>
      <c r="F93" s="667"/>
      <c r="G93" s="667"/>
      <c r="H93" s="667"/>
      <c r="I93" s="667"/>
      <c r="J93" s="667"/>
      <c r="K93" s="667"/>
      <c r="L93" s="667"/>
      <c r="M93" s="667"/>
      <c r="N93" s="667"/>
      <c r="O93" s="667"/>
      <c r="P93" s="667"/>
      <c r="Q93" s="667"/>
      <c r="R93" s="667"/>
      <c r="S93" s="667"/>
      <c r="T93" s="667"/>
      <c r="U93" s="667"/>
      <c r="V93" s="667"/>
      <c r="W93" s="667"/>
      <c r="X93" s="667"/>
      <c r="Y93" s="668"/>
      <c r="Z93" s="85"/>
      <c r="AA93" s="7"/>
      <c r="AB93" s="7"/>
      <c r="AC93" s="7"/>
      <c r="AD93" s="7"/>
      <c r="AE93" s="7"/>
    </row>
    <row r="94" spans="1:46" s="18" customFormat="1" ht="12" x14ac:dyDescent="0.2">
      <c r="A94" s="209" t="s">
        <v>218</v>
      </c>
      <c r="B94" s="210">
        <f>MIN(100,B96+$B$100)</f>
        <v>36.403827443033649</v>
      </c>
      <c r="C94" s="210">
        <f t="shared" ref="C94:Y94" si="69">MIN(100,C96+$B$100)</f>
        <v>36.403827443033649</v>
      </c>
      <c r="D94" s="210">
        <f t="shared" si="69"/>
        <v>36.403827443033649</v>
      </c>
      <c r="E94" s="210">
        <f t="shared" si="69"/>
        <v>46.403827443033649</v>
      </c>
      <c r="F94" s="210">
        <f t="shared" si="69"/>
        <v>51.403827443033649</v>
      </c>
      <c r="G94" s="210">
        <f t="shared" si="69"/>
        <v>56.403827443033649</v>
      </c>
      <c r="H94" s="210">
        <f t="shared" si="69"/>
        <v>61.403827443033649</v>
      </c>
      <c r="I94" s="210">
        <f t="shared" si="69"/>
        <v>76.403827443033649</v>
      </c>
      <c r="J94" s="210">
        <f t="shared" si="69"/>
        <v>76.403827443033649</v>
      </c>
      <c r="K94" s="210">
        <f t="shared" si="69"/>
        <v>76.403827443033649</v>
      </c>
      <c r="L94" s="210">
        <f t="shared" si="69"/>
        <v>76.403827443033649</v>
      </c>
      <c r="M94" s="210">
        <f t="shared" si="69"/>
        <v>76.403827443033649</v>
      </c>
      <c r="N94" s="210">
        <f t="shared" si="69"/>
        <v>96.403827443033649</v>
      </c>
      <c r="O94" s="210">
        <f t="shared" si="69"/>
        <v>100</v>
      </c>
      <c r="P94" s="210">
        <f t="shared" si="69"/>
        <v>100</v>
      </c>
      <c r="Q94" s="210">
        <f t="shared" si="69"/>
        <v>100</v>
      </c>
      <c r="R94" s="210">
        <f t="shared" si="69"/>
        <v>100</v>
      </c>
      <c r="S94" s="210">
        <f t="shared" si="69"/>
        <v>100</v>
      </c>
      <c r="T94" s="210">
        <f t="shared" si="69"/>
        <v>100</v>
      </c>
      <c r="U94" s="210">
        <f t="shared" si="69"/>
        <v>100</v>
      </c>
      <c r="V94" s="210">
        <f t="shared" si="69"/>
        <v>100</v>
      </c>
      <c r="W94" s="210">
        <f t="shared" si="69"/>
        <v>100</v>
      </c>
      <c r="X94" s="210">
        <f t="shared" si="69"/>
        <v>100</v>
      </c>
      <c r="Y94" s="55">
        <f t="shared" si="69"/>
        <v>36.403827443033649</v>
      </c>
      <c r="Z94" s="99"/>
      <c r="AA94" s="7"/>
      <c r="AB94" s="7"/>
      <c r="AC94" s="7"/>
      <c r="AD94" s="7"/>
      <c r="AE94" s="7"/>
      <c r="AF94" s="7"/>
      <c r="AG94" s="7"/>
      <c r="AH94" s="7"/>
      <c r="AI94" s="7"/>
      <c r="AJ94" s="7"/>
      <c r="AK94" s="7"/>
    </row>
    <row r="95" spans="1:46" x14ac:dyDescent="0.2">
      <c r="A95" s="489" t="s">
        <v>219</v>
      </c>
      <c r="B95" s="490">
        <f>MIN(100,B96+$B$101)</f>
        <v>20.701913721516824</v>
      </c>
      <c r="C95" s="490">
        <f t="shared" ref="C95:Y95" si="70">MIN(100,C96+$B$101)</f>
        <v>20.701913721516824</v>
      </c>
      <c r="D95" s="490">
        <f t="shared" si="70"/>
        <v>20.701913721516824</v>
      </c>
      <c r="E95" s="490">
        <f t="shared" si="70"/>
        <v>30.701913721516824</v>
      </c>
      <c r="F95" s="490">
        <f t="shared" si="70"/>
        <v>35.701913721516824</v>
      </c>
      <c r="G95" s="490">
        <f t="shared" si="70"/>
        <v>40.701913721516824</v>
      </c>
      <c r="H95" s="490">
        <f t="shared" si="70"/>
        <v>45.701913721516824</v>
      </c>
      <c r="I95" s="490">
        <f t="shared" si="70"/>
        <v>60.701913721516824</v>
      </c>
      <c r="J95" s="490">
        <f t="shared" si="70"/>
        <v>60.701913721516824</v>
      </c>
      <c r="K95" s="490">
        <f t="shared" si="70"/>
        <v>60.701913721516824</v>
      </c>
      <c r="L95" s="490">
        <f t="shared" si="70"/>
        <v>60.701913721516824</v>
      </c>
      <c r="M95" s="490">
        <f t="shared" si="70"/>
        <v>60.701913721516824</v>
      </c>
      <c r="N95" s="490">
        <f t="shared" si="70"/>
        <v>80.701913721516831</v>
      </c>
      <c r="O95" s="490">
        <f t="shared" si="70"/>
        <v>90.701913721516831</v>
      </c>
      <c r="P95" s="490">
        <f t="shared" si="70"/>
        <v>95.701913721516831</v>
      </c>
      <c r="Q95" s="490">
        <f t="shared" si="70"/>
        <v>100</v>
      </c>
      <c r="R95" s="490">
        <f t="shared" si="70"/>
        <v>100</v>
      </c>
      <c r="S95" s="490">
        <f t="shared" si="70"/>
        <v>100</v>
      </c>
      <c r="T95" s="490">
        <f t="shared" si="70"/>
        <v>100</v>
      </c>
      <c r="U95" s="490">
        <f t="shared" si="70"/>
        <v>100</v>
      </c>
      <c r="V95" s="490">
        <f t="shared" si="70"/>
        <v>100</v>
      </c>
      <c r="W95" s="490">
        <f t="shared" si="70"/>
        <v>85.701913721516831</v>
      </c>
      <c r="X95" s="490">
        <f t="shared" si="70"/>
        <v>85.701913721516831</v>
      </c>
      <c r="Y95" s="492">
        <f t="shared" si="70"/>
        <v>20.701913721516824</v>
      </c>
    </row>
    <row r="96" spans="1:46" x14ac:dyDescent="0.2">
      <c r="A96" s="489" t="s">
        <v>220</v>
      </c>
      <c r="B96" s="583">
        <v>5</v>
      </c>
      <c r="C96" s="583">
        <v>5</v>
      </c>
      <c r="D96" s="583">
        <v>5</v>
      </c>
      <c r="E96" s="583">
        <v>15</v>
      </c>
      <c r="F96" s="583">
        <v>20</v>
      </c>
      <c r="G96" s="583">
        <v>25</v>
      </c>
      <c r="H96" s="583">
        <v>30</v>
      </c>
      <c r="I96" s="583">
        <v>45</v>
      </c>
      <c r="J96" s="583">
        <v>45</v>
      </c>
      <c r="K96" s="583">
        <v>45</v>
      </c>
      <c r="L96" s="583">
        <v>45</v>
      </c>
      <c r="M96" s="583">
        <v>45</v>
      </c>
      <c r="N96" s="583">
        <v>65</v>
      </c>
      <c r="O96" s="583">
        <v>75</v>
      </c>
      <c r="P96" s="583">
        <v>80</v>
      </c>
      <c r="Q96" s="583">
        <v>85</v>
      </c>
      <c r="R96" s="583">
        <v>85</v>
      </c>
      <c r="S96" s="583">
        <v>85</v>
      </c>
      <c r="T96" s="583">
        <v>100</v>
      </c>
      <c r="U96" s="583">
        <v>100</v>
      </c>
      <c r="V96" s="583">
        <v>100</v>
      </c>
      <c r="W96" s="583">
        <v>70</v>
      </c>
      <c r="X96" s="583">
        <v>70</v>
      </c>
      <c r="Y96" s="584">
        <v>5</v>
      </c>
    </row>
    <row r="97" spans="1:37" x14ac:dyDescent="0.2">
      <c r="A97" s="489" t="s">
        <v>221</v>
      </c>
      <c r="B97" s="490">
        <f t="shared" ref="B97:Y97" si="71">MIN(80,IF(B23="Deploy",80,MAX(0,B96-$B$101)))</f>
        <v>0</v>
      </c>
      <c r="C97" s="490">
        <f t="shared" si="71"/>
        <v>0</v>
      </c>
      <c r="D97" s="490">
        <f t="shared" si="71"/>
        <v>0</v>
      </c>
      <c r="E97" s="490">
        <f t="shared" si="71"/>
        <v>0</v>
      </c>
      <c r="F97" s="490">
        <f t="shared" si="71"/>
        <v>4.2980862784831739</v>
      </c>
      <c r="G97" s="490">
        <f t="shared" si="71"/>
        <v>9.2980862784831739</v>
      </c>
      <c r="H97" s="490">
        <f t="shared" si="71"/>
        <v>14.298086278483174</v>
      </c>
      <c r="I97" s="490">
        <f t="shared" si="71"/>
        <v>29.298086278483176</v>
      </c>
      <c r="J97" s="490">
        <f t="shared" si="71"/>
        <v>29.298086278483176</v>
      </c>
      <c r="K97" s="490">
        <f t="shared" si="71"/>
        <v>29.298086278483176</v>
      </c>
      <c r="L97" s="490">
        <f t="shared" si="71"/>
        <v>29.298086278483176</v>
      </c>
      <c r="M97" s="490">
        <f t="shared" si="71"/>
        <v>29.298086278483176</v>
      </c>
      <c r="N97" s="490">
        <f t="shared" si="71"/>
        <v>49.298086278483176</v>
      </c>
      <c r="O97" s="490">
        <f t="shared" si="71"/>
        <v>59.298086278483176</v>
      </c>
      <c r="P97" s="490">
        <f t="shared" si="71"/>
        <v>64.298086278483169</v>
      </c>
      <c r="Q97" s="490">
        <f t="shared" si="71"/>
        <v>69.298086278483169</v>
      </c>
      <c r="R97" s="490">
        <f t="shared" si="71"/>
        <v>69.298086278483169</v>
      </c>
      <c r="S97" s="490">
        <f t="shared" si="71"/>
        <v>69.298086278483169</v>
      </c>
      <c r="T97" s="490">
        <f t="shared" si="71"/>
        <v>80</v>
      </c>
      <c r="U97" s="490">
        <f t="shared" si="71"/>
        <v>80</v>
      </c>
      <c r="V97" s="490">
        <f t="shared" si="71"/>
        <v>80</v>
      </c>
      <c r="W97" s="490">
        <f t="shared" si="71"/>
        <v>54.298086278483176</v>
      </c>
      <c r="X97" s="490">
        <f t="shared" si="71"/>
        <v>54.298086278483176</v>
      </c>
      <c r="Y97" s="492">
        <f t="shared" si="71"/>
        <v>0</v>
      </c>
      <c r="AD97" s="99"/>
    </row>
    <row r="98" spans="1:37" ht="13.5" thickBot="1" x14ac:dyDescent="0.25">
      <c r="A98" s="496" t="s">
        <v>222</v>
      </c>
      <c r="B98" s="497">
        <f t="shared" ref="B98:Y98" si="72">MIN(60,IF(B24="Deploy",60,MAX(0,B96-$B$100)))</f>
        <v>0</v>
      </c>
      <c r="C98" s="497">
        <f t="shared" si="72"/>
        <v>0</v>
      </c>
      <c r="D98" s="497">
        <f t="shared" si="72"/>
        <v>0</v>
      </c>
      <c r="E98" s="497">
        <f t="shared" si="72"/>
        <v>0</v>
      </c>
      <c r="F98" s="497">
        <f t="shared" si="72"/>
        <v>0</v>
      </c>
      <c r="G98" s="497">
        <f t="shared" si="72"/>
        <v>0</v>
      </c>
      <c r="H98" s="497">
        <f t="shared" si="72"/>
        <v>0</v>
      </c>
      <c r="I98" s="497">
        <f t="shared" si="72"/>
        <v>13.596172556966348</v>
      </c>
      <c r="J98" s="497">
        <f t="shared" si="72"/>
        <v>13.596172556966348</v>
      </c>
      <c r="K98" s="497">
        <f t="shared" si="72"/>
        <v>13.596172556966348</v>
      </c>
      <c r="L98" s="497">
        <f t="shared" si="72"/>
        <v>13.596172556966348</v>
      </c>
      <c r="M98" s="497">
        <f t="shared" si="72"/>
        <v>13.596172556966348</v>
      </c>
      <c r="N98" s="497">
        <f t="shared" si="72"/>
        <v>33.596172556966351</v>
      </c>
      <c r="O98" s="497">
        <f t="shared" si="72"/>
        <v>43.596172556966351</v>
      </c>
      <c r="P98" s="497">
        <f t="shared" si="72"/>
        <v>48.596172556966351</v>
      </c>
      <c r="Q98" s="497">
        <f t="shared" si="72"/>
        <v>53.596172556966351</v>
      </c>
      <c r="R98" s="497">
        <f t="shared" si="72"/>
        <v>53.596172556966351</v>
      </c>
      <c r="S98" s="497">
        <f t="shared" si="72"/>
        <v>53.596172556966351</v>
      </c>
      <c r="T98" s="497">
        <f t="shared" si="72"/>
        <v>60</v>
      </c>
      <c r="U98" s="497">
        <f t="shared" si="72"/>
        <v>60</v>
      </c>
      <c r="V98" s="497">
        <f t="shared" si="72"/>
        <v>60</v>
      </c>
      <c r="W98" s="497">
        <f t="shared" si="72"/>
        <v>38.596172556966351</v>
      </c>
      <c r="X98" s="497">
        <f t="shared" si="72"/>
        <v>38.596172556966351</v>
      </c>
      <c r="Y98" s="499">
        <f t="shared" si="72"/>
        <v>0</v>
      </c>
      <c r="AB98" s="99"/>
      <c r="AC98" s="99"/>
      <c r="AD98" s="99"/>
    </row>
    <row r="99" spans="1:37" ht="13.5" thickBot="1" x14ac:dyDescent="0.25">
      <c r="A99" s="144" t="s">
        <v>223</v>
      </c>
      <c r="B99" s="162">
        <v>58</v>
      </c>
      <c r="C99" s="162">
        <v>52</v>
      </c>
      <c r="D99" s="162">
        <v>48</v>
      </c>
      <c r="E99" s="162">
        <v>48</v>
      </c>
      <c r="F99" s="162">
        <v>48</v>
      </c>
      <c r="G99" s="162">
        <v>58</v>
      </c>
      <c r="H99" s="162">
        <v>58</v>
      </c>
      <c r="I99" s="162">
        <v>61</v>
      </c>
      <c r="J99" s="162">
        <v>62</v>
      </c>
      <c r="K99" s="162">
        <v>67</v>
      </c>
      <c r="L99" s="162">
        <v>69</v>
      </c>
      <c r="M99" s="162">
        <v>70</v>
      </c>
      <c r="N99" s="162">
        <v>81</v>
      </c>
      <c r="O99" s="162">
        <v>81</v>
      </c>
      <c r="P99" s="162">
        <v>100</v>
      </c>
      <c r="Q99" s="162">
        <v>100</v>
      </c>
      <c r="R99" s="162">
        <v>100</v>
      </c>
      <c r="S99" s="162">
        <v>100</v>
      </c>
      <c r="T99" s="162">
        <v>100</v>
      </c>
      <c r="U99" s="162">
        <v>100</v>
      </c>
      <c r="V99" s="162">
        <v>100</v>
      </c>
      <c r="W99" s="162">
        <v>70</v>
      </c>
      <c r="X99" s="162">
        <v>70</v>
      </c>
      <c r="Y99" s="163">
        <v>37</v>
      </c>
      <c r="AB99" s="99"/>
      <c r="AC99" s="99"/>
    </row>
    <row r="100" spans="1:37" x14ac:dyDescent="0.2">
      <c r="A100" s="164" t="s">
        <v>224</v>
      </c>
      <c r="B100" s="165">
        <f t="array" ref="B100">SQRT(SUM(POWER(AVERAGE(B96:X96)-(B96:X96),2))/COUNT(B96:X96))*1</f>
        <v>31.403827443033652</v>
      </c>
    </row>
    <row r="101" spans="1:37" ht="13.5" thickBot="1" x14ac:dyDescent="0.25">
      <c r="A101" s="585" t="s">
        <v>225</v>
      </c>
      <c r="B101" s="586">
        <f>B100/2</f>
        <v>15.701913721516826</v>
      </c>
      <c r="AE101" s="99"/>
      <c r="AF101" s="99"/>
      <c r="AG101" s="99"/>
      <c r="AH101" s="99"/>
      <c r="AI101" s="99"/>
      <c r="AJ101" s="99"/>
      <c r="AK101" s="99"/>
    </row>
    <row r="102" spans="1:37" s="99" customFormat="1" ht="13.5" thickBot="1" x14ac:dyDescent="0.25">
      <c r="A102" s="7"/>
      <c r="B102" s="7"/>
      <c r="C102" s="7"/>
      <c r="D102" s="7"/>
      <c r="E102" s="125"/>
      <c r="F102" s="125"/>
      <c r="G102" s="125"/>
      <c r="H102" s="125"/>
      <c r="Z102" s="85"/>
      <c r="AB102" s="7"/>
      <c r="AC102" s="7"/>
      <c r="AD102" s="7"/>
      <c r="AF102" s="7"/>
      <c r="AG102" s="7"/>
      <c r="AH102" s="7"/>
      <c r="AI102" s="7"/>
      <c r="AJ102" s="7"/>
      <c r="AK102" s="7"/>
    </row>
    <row r="103" spans="1:37" ht="13.5" thickBot="1" x14ac:dyDescent="0.25">
      <c r="A103" s="634" t="s">
        <v>226</v>
      </c>
      <c r="B103" s="635"/>
      <c r="E103" s="125"/>
      <c r="F103" s="125"/>
      <c r="G103" s="125"/>
      <c r="H103" s="125"/>
      <c r="I103" s="99"/>
      <c r="J103" s="99"/>
      <c r="K103" s="99"/>
      <c r="L103" s="99"/>
      <c r="M103" s="99"/>
      <c r="N103" s="99"/>
      <c r="O103" s="99"/>
      <c r="P103" s="99"/>
      <c r="Q103" s="99"/>
      <c r="R103" s="99"/>
      <c r="S103" s="99"/>
      <c r="T103" s="99"/>
      <c r="U103" s="99"/>
      <c r="V103" s="99"/>
      <c r="W103" s="99"/>
      <c r="X103" s="99"/>
      <c r="Y103" s="99"/>
      <c r="AA103" s="99"/>
    </row>
    <row r="104" spans="1:37" ht="13.5" thickBot="1" x14ac:dyDescent="0.25">
      <c r="A104" s="636" t="s">
        <v>227</v>
      </c>
      <c r="B104" s="637"/>
      <c r="C104" s="99"/>
      <c r="D104" s="99"/>
      <c r="E104" s="24"/>
      <c r="F104" s="20"/>
      <c r="G104" s="20"/>
      <c r="H104" s="20"/>
    </row>
    <row r="105" spans="1:37" ht="13.5" thickTop="1" x14ac:dyDescent="0.2">
      <c r="A105" s="21" t="s">
        <v>228</v>
      </c>
      <c r="B105" s="22">
        <v>11</v>
      </c>
      <c r="C105" s="99"/>
      <c r="D105" s="99"/>
      <c r="E105" s="25"/>
      <c r="F105" s="20"/>
      <c r="G105" s="20"/>
      <c r="H105" s="20"/>
      <c r="J105" s="99"/>
    </row>
    <row r="106" spans="1:37" x14ac:dyDescent="0.2">
      <c r="A106" s="502" t="s">
        <v>229</v>
      </c>
      <c r="B106" s="504">
        <v>5</v>
      </c>
      <c r="E106" s="23"/>
      <c r="F106" s="20"/>
      <c r="G106" s="20"/>
      <c r="H106" s="20"/>
    </row>
    <row r="107" spans="1:37" x14ac:dyDescent="0.2">
      <c r="A107" s="21" t="s">
        <v>230</v>
      </c>
      <c r="B107" s="22">
        <v>9</v>
      </c>
      <c r="E107" s="23"/>
      <c r="F107" s="20"/>
      <c r="G107" s="20"/>
      <c r="H107" s="20"/>
    </row>
    <row r="108" spans="1:37" x14ac:dyDescent="0.2">
      <c r="A108" s="502" t="s">
        <v>231</v>
      </c>
      <c r="B108" s="504">
        <v>5</v>
      </c>
      <c r="F108" s="189"/>
      <c r="H108" s="20"/>
    </row>
    <row r="109" spans="1:37" x14ac:dyDescent="0.2">
      <c r="A109" s="502" t="s">
        <v>232</v>
      </c>
      <c r="B109" s="504" t="s">
        <v>200</v>
      </c>
      <c r="F109" s="189"/>
      <c r="H109" s="20"/>
    </row>
    <row r="110" spans="1:37" x14ac:dyDescent="0.2">
      <c r="A110" s="502" t="s">
        <v>290</v>
      </c>
      <c r="B110" s="504">
        <v>5</v>
      </c>
      <c r="F110" s="189"/>
      <c r="H110" s="20"/>
      <c r="AD110" s="99"/>
    </row>
    <row r="111" spans="1:37" x14ac:dyDescent="0.2">
      <c r="A111" s="502" t="s">
        <v>291</v>
      </c>
      <c r="B111" s="504">
        <v>9</v>
      </c>
      <c r="F111" s="189"/>
      <c r="H111" s="20"/>
      <c r="AB111" s="99"/>
      <c r="AC111" s="99"/>
      <c r="AF111" s="99"/>
      <c r="AG111" s="99"/>
      <c r="AH111" s="99"/>
      <c r="AI111" s="99"/>
      <c r="AJ111" s="99"/>
      <c r="AK111" s="99"/>
    </row>
    <row r="112" spans="1:37" s="99" customFormat="1" x14ac:dyDescent="0.2">
      <c r="A112" s="502" t="s">
        <v>292</v>
      </c>
      <c r="B112" s="503">
        <v>14</v>
      </c>
      <c r="C112" s="7"/>
      <c r="D112" s="7"/>
      <c r="E112" s="7"/>
      <c r="F112" s="189"/>
      <c r="G112" s="7"/>
      <c r="H112" s="20"/>
      <c r="I112" s="7"/>
      <c r="J112" s="7"/>
      <c r="K112" s="7"/>
      <c r="L112" s="7"/>
      <c r="M112" s="7"/>
      <c r="N112" s="7"/>
      <c r="O112" s="7"/>
      <c r="P112" s="7"/>
      <c r="Q112" s="7"/>
      <c r="R112" s="7"/>
      <c r="S112" s="7"/>
      <c r="T112" s="7"/>
      <c r="U112" s="7"/>
      <c r="V112" s="7"/>
      <c r="W112" s="7"/>
      <c r="X112" s="7"/>
      <c r="Y112" s="7"/>
      <c r="Z112" s="85"/>
      <c r="AA112" s="7"/>
      <c r="AB112" s="7"/>
      <c r="AC112" s="7"/>
      <c r="AD112" s="7"/>
      <c r="AE112" s="7"/>
    </row>
    <row r="113" spans="1:37" s="99" customFormat="1" x14ac:dyDescent="0.2">
      <c r="A113" s="502" t="s">
        <v>236</v>
      </c>
      <c r="B113" s="505" t="s">
        <v>200</v>
      </c>
      <c r="C113" s="7"/>
      <c r="D113" s="7"/>
      <c r="E113" s="7"/>
      <c r="F113" s="189"/>
      <c r="G113" s="7"/>
      <c r="H113" s="20"/>
      <c r="I113" s="7"/>
      <c r="J113" s="7"/>
      <c r="K113" s="7"/>
      <c r="L113" s="7"/>
      <c r="M113" s="7"/>
      <c r="N113" s="7"/>
      <c r="O113" s="7"/>
      <c r="P113" s="7"/>
      <c r="Q113" s="7"/>
      <c r="R113" s="7"/>
      <c r="S113" s="7"/>
      <c r="T113" s="7"/>
      <c r="U113" s="7"/>
      <c r="V113" s="7"/>
      <c r="W113" s="7"/>
      <c r="X113" s="7"/>
      <c r="Y113" s="7"/>
      <c r="Z113" s="85"/>
      <c r="AA113" s="7"/>
      <c r="AB113" s="7"/>
      <c r="AC113" s="7"/>
      <c r="AD113" s="7"/>
      <c r="AE113" s="7"/>
      <c r="AF113" s="7"/>
      <c r="AG113" s="7"/>
      <c r="AH113" s="7"/>
      <c r="AI113" s="7"/>
      <c r="AJ113" s="7"/>
      <c r="AK113" s="7"/>
    </row>
    <row r="114" spans="1:37" x14ac:dyDescent="0.2">
      <c r="A114" s="502" t="s">
        <v>293</v>
      </c>
      <c r="B114" s="506">
        <v>14</v>
      </c>
      <c r="F114" s="189"/>
      <c r="H114" s="20"/>
      <c r="AE114" s="99"/>
    </row>
    <row r="115" spans="1:37" x14ac:dyDescent="0.2">
      <c r="A115" s="502" t="s">
        <v>201</v>
      </c>
      <c r="B115" s="506">
        <v>14</v>
      </c>
      <c r="F115" s="189"/>
      <c r="H115" s="20"/>
      <c r="AA115" s="99"/>
      <c r="AE115" s="99"/>
    </row>
    <row r="116" spans="1:37" ht="13.5" thickBot="1" x14ac:dyDescent="0.25">
      <c r="A116" s="507" t="s">
        <v>239</v>
      </c>
      <c r="B116" s="508">
        <v>8</v>
      </c>
      <c r="F116" s="189"/>
      <c r="AA116" s="99"/>
    </row>
    <row r="117" spans="1:37" ht="13.5" thickBot="1" x14ac:dyDescent="0.25"/>
    <row r="118" spans="1:37" ht="13.5" thickBot="1" x14ac:dyDescent="0.25">
      <c r="A118" s="634" t="s">
        <v>240</v>
      </c>
      <c r="B118" s="635"/>
    </row>
    <row r="119" spans="1:37" x14ac:dyDescent="0.2">
      <c r="A119" s="47" t="s">
        <v>241</v>
      </c>
      <c r="B119" s="48" t="s">
        <v>242</v>
      </c>
      <c r="C119" s="48" t="s">
        <v>242</v>
      </c>
      <c r="D119" s="48" t="s">
        <v>242</v>
      </c>
      <c r="E119" s="48" t="s">
        <v>242</v>
      </c>
      <c r="F119" s="48"/>
      <c r="G119" s="48" t="s">
        <v>242</v>
      </c>
      <c r="H119" s="48" t="s">
        <v>242</v>
      </c>
      <c r="I119" s="48"/>
      <c r="J119" s="48" t="s">
        <v>242</v>
      </c>
      <c r="K119" s="48" t="s">
        <v>242</v>
      </c>
      <c r="L119" s="48"/>
      <c r="M119" s="48" t="s">
        <v>242</v>
      </c>
      <c r="N119" s="48" t="s">
        <v>242</v>
      </c>
      <c r="O119" s="48"/>
      <c r="P119" s="48" t="s">
        <v>242</v>
      </c>
      <c r="Q119" s="48" t="s">
        <v>242</v>
      </c>
      <c r="R119" s="48" t="s">
        <v>242</v>
      </c>
      <c r="S119" s="48"/>
      <c r="T119" s="48"/>
      <c r="U119" s="48"/>
      <c r="V119" s="48"/>
      <c r="W119" s="48"/>
      <c r="X119" s="48" t="s">
        <v>242</v>
      </c>
      <c r="Y119" s="48" t="s">
        <v>242</v>
      </c>
    </row>
    <row r="120" spans="1:37" ht="13.5" thickBot="1" x14ac:dyDescent="0.25">
      <c r="A120" s="509" t="s">
        <v>243</v>
      </c>
      <c r="B120" s="510"/>
      <c r="C120" s="510"/>
      <c r="D120" s="510"/>
      <c r="E120" s="510"/>
      <c r="F120" s="510"/>
      <c r="G120" s="510"/>
      <c r="H120" s="510"/>
      <c r="I120" s="510"/>
      <c r="J120" s="510"/>
      <c r="K120" s="510"/>
      <c r="L120" s="510"/>
      <c r="M120" s="510"/>
      <c r="N120" s="510"/>
      <c r="O120" s="510"/>
      <c r="P120" s="510"/>
      <c r="Q120" s="510"/>
      <c r="R120" s="510"/>
      <c r="S120" s="510"/>
      <c r="T120" s="510" t="s">
        <v>242</v>
      </c>
      <c r="U120" s="510" t="s">
        <v>242</v>
      </c>
      <c r="V120" s="510" t="s">
        <v>242</v>
      </c>
      <c r="W120" s="510"/>
      <c r="X120" s="510"/>
      <c r="Y120" s="510"/>
    </row>
    <row r="121" spans="1:37" ht="13.5" thickBot="1" x14ac:dyDescent="0.25"/>
    <row r="122" spans="1:37" ht="13.5" thickBot="1" x14ac:dyDescent="0.25">
      <c r="A122" s="634" t="s">
        <v>244</v>
      </c>
      <c r="B122" s="635"/>
    </row>
    <row r="123" spans="1:37" ht="13.5" thickBot="1" x14ac:dyDescent="0.25">
      <c r="A123" s="190" t="s">
        <v>184</v>
      </c>
      <c r="B123" s="191" t="s">
        <v>105</v>
      </c>
    </row>
    <row r="124" spans="1:37" x14ac:dyDescent="0.2">
      <c r="A124" s="181" t="s">
        <v>185</v>
      </c>
      <c r="B124" s="38">
        <v>14</v>
      </c>
    </row>
    <row r="125" spans="1:37" x14ac:dyDescent="0.2">
      <c r="A125" s="567" t="s">
        <v>186</v>
      </c>
      <c r="B125" s="465">
        <v>10</v>
      </c>
    </row>
    <row r="126" spans="1:37" x14ac:dyDescent="0.2">
      <c r="A126" s="587" t="s">
        <v>187</v>
      </c>
      <c r="B126" s="465">
        <v>8</v>
      </c>
    </row>
    <row r="127" spans="1:37" x14ac:dyDescent="0.2">
      <c r="A127" s="587" t="s">
        <v>188</v>
      </c>
      <c r="B127" s="465">
        <v>4</v>
      </c>
    </row>
    <row r="128" spans="1:37" x14ac:dyDescent="0.2">
      <c r="A128" s="567" t="s">
        <v>189</v>
      </c>
      <c r="B128" s="465">
        <v>11</v>
      </c>
    </row>
    <row r="129" spans="1:10" x14ac:dyDescent="0.2">
      <c r="A129" s="567" t="s">
        <v>190</v>
      </c>
      <c r="B129" s="465">
        <v>7</v>
      </c>
    </row>
    <row r="130" spans="1:10" x14ac:dyDescent="0.2">
      <c r="A130" s="587" t="s">
        <v>191</v>
      </c>
      <c r="B130" s="465">
        <v>13</v>
      </c>
    </row>
    <row r="131" spans="1:10" x14ac:dyDescent="0.2">
      <c r="A131" s="587" t="s">
        <v>192</v>
      </c>
      <c r="B131" s="465">
        <v>9</v>
      </c>
    </row>
    <row r="132" spans="1:10" x14ac:dyDescent="0.2">
      <c r="A132" s="567" t="s">
        <v>193</v>
      </c>
      <c r="B132" s="465">
        <v>11</v>
      </c>
    </row>
    <row r="133" spans="1:10" x14ac:dyDescent="0.2">
      <c r="A133" s="567" t="s">
        <v>194</v>
      </c>
      <c r="B133" s="465">
        <v>7</v>
      </c>
    </row>
    <row r="134" spans="1:10" x14ac:dyDescent="0.2">
      <c r="A134" s="587" t="s">
        <v>195</v>
      </c>
      <c r="B134" s="465">
        <v>12</v>
      </c>
    </row>
    <row r="135" spans="1:10" ht="13.5" thickBot="1" x14ac:dyDescent="0.25">
      <c r="A135" s="588" t="s">
        <v>196</v>
      </c>
      <c r="B135" s="476">
        <v>8</v>
      </c>
    </row>
    <row r="136" spans="1:10" ht="13.5" thickBot="1" x14ac:dyDescent="0.25"/>
    <row r="137" spans="1:10" x14ac:dyDescent="0.2">
      <c r="A137" s="192" t="s">
        <v>245</v>
      </c>
      <c r="B137" s="638" t="s">
        <v>246</v>
      </c>
      <c r="C137" s="638"/>
      <c r="D137" s="639" t="s">
        <v>247</v>
      </c>
      <c r="E137" s="639"/>
      <c r="F137" s="632" t="s">
        <v>248</v>
      </c>
      <c r="G137" s="633"/>
      <c r="J137" s="80" t="s">
        <v>63</v>
      </c>
    </row>
    <row r="138" spans="1:10" x14ac:dyDescent="0.2">
      <c r="A138" s="513" t="s">
        <v>249</v>
      </c>
      <c r="B138" s="193"/>
      <c r="C138" s="193"/>
      <c r="D138" s="193"/>
      <c r="E138" s="193"/>
      <c r="F138" s="193"/>
      <c r="G138" s="194"/>
      <c r="J138" s="342" t="s">
        <v>250</v>
      </c>
    </row>
    <row r="139" spans="1:10" x14ac:dyDescent="0.2">
      <c r="A139" s="514" t="s">
        <v>251</v>
      </c>
      <c r="B139" s="515">
        <f>$B$2</f>
        <v>5</v>
      </c>
      <c r="C139" s="515">
        <v>5</v>
      </c>
      <c r="D139" s="516">
        <v>4</v>
      </c>
      <c r="E139" s="516">
        <v>4</v>
      </c>
      <c r="F139" s="517">
        <v>3</v>
      </c>
      <c r="G139" s="518">
        <v>0</v>
      </c>
    </row>
    <row r="140" spans="1:10" x14ac:dyDescent="0.2">
      <c r="A140" s="514" t="s">
        <v>252</v>
      </c>
      <c r="B140" s="515">
        <f>$B$139</f>
        <v>5</v>
      </c>
      <c r="C140" s="515">
        <v>4</v>
      </c>
      <c r="D140" s="516">
        <v>3</v>
      </c>
      <c r="E140" s="516">
        <v>3</v>
      </c>
      <c r="F140" s="517">
        <v>2</v>
      </c>
      <c r="G140" s="518">
        <v>0</v>
      </c>
    </row>
    <row r="141" spans="1:10" x14ac:dyDescent="0.2">
      <c r="A141" s="513" t="s">
        <v>163</v>
      </c>
      <c r="B141" s="195"/>
      <c r="C141" s="196"/>
      <c r="D141" s="196"/>
      <c r="E141" s="196"/>
      <c r="F141" s="196"/>
      <c r="G141" s="197"/>
    </row>
    <row r="142" spans="1:10" x14ac:dyDescent="0.2">
      <c r="A142" s="514" t="s">
        <v>259</v>
      </c>
      <c r="B142" s="515">
        <f t="shared" ref="B142:B150" si="73">$B$139</f>
        <v>5</v>
      </c>
      <c r="C142" s="515">
        <f>ROUND(T39,0)</f>
        <v>1</v>
      </c>
      <c r="D142" s="516"/>
      <c r="E142" s="516"/>
      <c r="F142" s="517"/>
      <c r="G142" s="518">
        <v>0</v>
      </c>
    </row>
    <row r="143" spans="1:10" x14ac:dyDescent="0.2">
      <c r="A143" s="514" t="s">
        <v>260</v>
      </c>
      <c r="B143" s="515">
        <f t="shared" si="73"/>
        <v>5</v>
      </c>
      <c r="C143" s="515">
        <f t="shared" ref="C143:C148" si="74">ROUND(T40,0)</f>
        <v>3</v>
      </c>
      <c r="D143" s="516">
        <v>2</v>
      </c>
      <c r="E143" s="516"/>
      <c r="F143" s="517">
        <v>1</v>
      </c>
      <c r="G143" s="518">
        <v>0</v>
      </c>
    </row>
    <row r="144" spans="1:10" x14ac:dyDescent="0.2">
      <c r="A144" s="514" t="s">
        <v>261</v>
      </c>
      <c r="B144" s="515">
        <f t="shared" si="73"/>
        <v>5</v>
      </c>
      <c r="C144" s="515">
        <f t="shared" si="74"/>
        <v>3</v>
      </c>
      <c r="D144" s="516">
        <v>2</v>
      </c>
      <c r="E144" s="516"/>
      <c r="F144" s="517">
        <v>1</v>
      </c>
      <c r="G144" s="518">
        <v>0</v>
      </c>
    </row>
    <row r="145" spans="1:7" x14ac:dyDescent="0.2">
      <c r="A145" s="531" t="s">
        <v>262</v>
      </c>
      <c r="B145" s="515">
        <f t="shared" si="73"/>
        <v>5</v>
      </c>
      <c r="C145" s="515">
        <f t="shared" si="74"/>
        <v>3</v>
      </c>
      <c r="D145" s="516">
        <v>2</v>
      </c>
      <c r="E145" s="516"/>
      <c r="F145" s="517">
        <v>1</v>
      </c>
      <c r="G145" s="518">
        <v>0</v>
      </c>
    </row>
    <row r="146" spans="1:7" x14ac:dyDescent="0.2">
      <c r="A146" s="514" t="s">
        <v>263</v>
      </c>
      <c r="B146" s="515">
        <f t="shared" si="73"/>
        <v>5</v>
      </c>
      <c r="C146" s="515">
        <f t="shared" si="74"/>
        <v>3</v>
      </c>
      <c r="D146" s="516">
        <v>2</v>
      </c>
      <c r="E146" s="516">
        <v>2</v>
      </c>
      <c r="F146" s="517">
        <v>1</v>
      </c>
      <c r="G146" s="518">
        <v>0</v>
      </c>
    </row>
    <row r="147" spans="1:7" x14ac:dyDescent="0.2">
      <c r="A147" s="514" t="s">
        <v>264</v>
      </c>
      <c r="B147" s="515">
        <f t="shared" si="73"/>
        <v>5</v>
      </c>
      <c r="C147" s="515">
        <f t="shared" si="74"/>
        <v>4</v>
      </c>
      <c r="D147" s="516">
        <v>3</v>
      </c>
      <c r="E147" s="516">
        <v>2</v>
      </c>
      <c r="F147" s="517">
        <v>1</v>
      </c>
      <c r="G147" s="518">
        <v>0</v>
      </c>
    </row>
    <row r="148" spans="1:7" x14ac:dyDescent="0.2">
      <c r="A148" s="514" t="s">
        <v>265</v>
      </c>
      <c r="B148" s="515">
        <f t="shared" si="73"/>
        <v>5</v>
      </c>
      <c r="C148" s="515">
        <f t="shared" si="74"/>
        <v>3</v>
      </c>
      <c r="D148" s="516">
        <v>2</v>
      </c>
      <c r="E148" s="516">
        <v>2</v>
      </c>
      <c r="F148" s="517">
        <v>1</v>
      </c>
      <c r="G148" s="518">
        <v>0</v>
      </c>
    </row>
    <row r="149" spans="1:7" x14ac:dyDescent="0.2">
      <c r="A149" s="514" t="s">
        <v>266</v>
      </c>
      <c r="B149" s="515">
        <f t="shared" si="73"/>
        <v>5</v>
      </c>
      <c r="C149" s="515">
        <f t="shared" ref="C149:G149" si="75">C140</f>
        <v>4</v>
      </c>
      <c r="D149" s="516">
        <f t="shared" si="75"/>
        <v>3</v>
      </c>
      <c r="E149" s="516">
        <f t="shared" si="75"/>
        <v>3</v>
      </c>
      <c r="F149" s="517">
        <f t="shared" si="75"/>
        <v>2</v>
      </c>
      <c r="G149" s="518">
        <f t="shared" si="75"/>
        <v>0</v>
      </c>
    </row>
    <row r="150" spans="1:7" x14ac:dyDescent="0.2">
      <c r="A150" s="519" t="s">
        <v>267</v>
      </c>
      <c r="B150" s="515">
        <f t="shared" si="73"/>
        <v>5</v>
      </c>
      <c r="C150" s="515">
        <f t="shared" ref="C150:G150" si="76">C140</f>
        <v>4</v>
      </c>
      <c r="D150" s="516">
        <f t="shared" si="76"/>
        <v>3</v>
      </c>
      <c r="E150" s="516">
        <f t="shared" si="76"/>
        <v>3</v>
      </c>
      <c r="F150" s="517">
        <f t="shared" si="76"/>
        <v>2</v>
      </c>
      <c r="G150" s="518">
        <f t="shared" si="76"/>
        <v>0</v>
      </c>
    </row>
    <row r="151" spans="1:7" x14ac:dyDescent="0.2">
      <c r="A151" s="513" t="s">
        <v>179</v>
      </c>
      <c r="B151" s="195"/>
      <c r="C151" s="196"/>
      <c r="D151" s="196"/>
      <c r="E151" s="196"/>
      <c r="F151" s="196"/>
      <c r="G151" s="197"/>
    </row>
    <row r="152" spans="1:7" x14ac:dyDescent="0.2">
      <c r="A152" s="514" t="s">
        <v>180</v>
      </c>
      <c r="B152" s="515">
        <f>T49</f>
        <v>20</v>
      </c>
      <c r="C152" s="515"/>
      <c r="D152" s="516">
        <f>B152-1</f>
        <v>19</v>
      </c>
      <c r="E152" s="516">
        <f>1+F152</f>
        <v>8</v>
      </c>
      <c r="F152" s="517">
        <f>MAX(D49,1)</f>
        <v>7</v>
      </c>
      <c r="G152" s="198">
        <v>0</v>
      </c>
    </row>
    <row r="153" spans="1:7" x14ac:dyDescent="0.2">
      <c r="A153" s="514" t="s">
        <v>148</v>
      </c>
      <c r="B153" s="515">
        <f>B152</f>
        <v>20</v>
      </c>
      <c r="C153" s="515">
        <f>T50</f>
        <v>17</v>
      </c>
      <c r="D153" s="520">
        <f>C153-1</f>
        <v>16</v>
      </c>
      <c r="E153" s="516">
        <f t="shared" ref="E153:E167" si="77">1+F153</f>
        <v>7</v>
      </c>
      <c r="F153" s="517">
        <f>MAX(D50,1)</f>
        <v>6</v>
      </c>
      <c r="G153" s="198">
        <v>0</v>
      </c>
    </row>
    <row r="154" spans="1:7" x14ac:dyDescent="0.2">
      <c r="A154" s="514" t="s">
        <v>182</v>
      </c>
      <c r="B154" s="515">
        <f>T51</f>
        <v>22</v>
      </c>
      <c r="C154" s="515"/>
      <c r="D154" s="516">
        <f>B154-1</f>
        <v>21</v>
      </c>
      <c r="E154" s="516">
        <f t="shared" si="77"/>
        <v>8</v>
      </c>
      <c r="F154" s="517">
        <f>MAX(D51,1)</f>
        <v>7</v>
      </c>
      <c r="G154" s="198">
        <v>0</v>
      </c>
    </row>
    <row r="155" spans="1:7" x14ac:dyDescent="0.2">
      <c r="A155" s="514" t="s">
        <v>152</v>
      </c>
      <c r="B155" s="515">
        <f>B154</f>
        <v>22</v>
      </c>
      <c r="C155" s="515">
        <f>T52</f>
        <v>17</v>
      </c>
      <c r="D155" s="520">
        <f>C155-1</f>
        <v>16</v>
      </c>
      <c r="E155" s="516">
        <f t="shared" si="77"/>
        <v>7</v>
      </c>
      <c r="F155" s="517">
        <f>MAX(D52,1)</f>
        <v>6</v>
      </c>
      <c r="G155" s="198">
        <v>0</v>
      </c>
    </row>
    <row r="156" spans="1:7" x14ac:dyDescent="0.2">
      <c r="A156" s="514" t="s">
        <v>253</v>
      </c>
      <c r="B156" s="521">
        <f>T54</f>
        <v>14</v>
      </c>
      <c r="C156" s="515"/>
      <c r="D156" s="516">
        <f>B156-1</f>
        <v>13</v>
      </c>
      <c r="E156" s="516">
        <f t="shared" si="77"/>
        <v>5</v>
      </c>
      <c r="F156" s="517">
        <f t="shared" ref="F156:F167" si="78">MAX(D54,1)</f>
        <v>4</v>
      </c>
      <c r="G156" s="198">
        <v>0</v>
      </c>
    </row>
    <row r="157" spans="1:7" x14ac:dyDescent="0.2">
      <c r="A157" s="514" t="s">
        <v>186</v>
      </c>
      <c r="B157" s="521">
        <f>B156</f>
        <v>14</v>
      </c>
      <c r="C157" s="515">
        <f>T55</f>
        <v>10</v>
      </c>
      <c r="D157" s="520">
        <f>C157-1</f>
        <v>9</v>
      </c>
      <c r="E157" s="516">
        <f t="shared" si="77"/>
        <v>4</v>
      </c>
      <c r="F157" s="517">
        <f t="shared" si="78"/>
        <v>3</v>
      </c>
      <c r="G157" s="198">
        <v>0</v>
      </c>
    </row>
    <row r="158" spans="1:7" x14ac:dyDescent="0.2">
      <c r="A158" s="514" t="s">
        <v>187</v>
      </c>
      <c r="B158" s="521">
        <f>T56</f>
        <v>8</v>
      </c>
      <c r="C158" s="515"/>
      <c r="D158" s="516">
        <f>B158-1</f>
        <v>7</v>
      </c>
      <c r="E158" s="516">
        <f t="shared" si="77"/>
        <v>2</v>
      </c>
      <c r="F158" s="517">
        <f t="shared" si="78"/>
        <v>1</v>
      </c>
      <c r="G158" s="198">
        <v>0</v>
      </c>
    </row>
    <row r="159" spans="1:7" x14ac:dyDescent="0.2">
      <c r="A159" s="514" t="s">
        <v>188</v>
      </c>
      <c r="B159" s="521">
        <f>B158</f>
        <v>8</v>
      </c>
      <c r="C159" s="515">
        <f>T57</f>
        <v>4</v>
      </c>
      <c r="D159" s="520">
        <f>C159-1</f>
        <v>3</v>
      </c>
      <c r="E159" s="516">
        <f t="shared" si="77"/>
        <v>2</v>
      </c>
      <c r="F159" s="517">
        <f t="shared" si="78"/>
        <v>1</v>
      </c>
      <c r="G159" s="198">
        <v>0</v>
      </c>
    </row>
    <row r="160" spans="1:7" x14ac:dyDescent="0.2">
      <c r="A160" s="514" t="s">
        <v>189</v>
      </c>
      <c r="B160" s="521">
        <f>T58</f>
        <v>11</v>
      </c>
      <c r="C160" s="515"/>
      <c r="D160" s="516">
        <f>B160-1</f>
        <v>10</v>
      </c>
      <c r="E160" s="516">
        <f t="shared" si="77"/>
        <v>2</v>
      </c>
      <c r="F160" s="517">
        <f t="shared" si="78"/>
        <v>1</v>
      </c>
      <c r="G160" s="198">
        <v>0</v>
      </c>
    </row>
    <row r="161" spans="1:7" x14ac:dyDescent="0.2">
      <c r="A161" s="514" t="s">
        <v>190</v>
      </c>
      <c r="B161" s="521">
        <f>B160</f>
        <v>11</v>
      </c>
      <c r="C161" s="515">
        <f>T59</f>
        <v>7</v>
      </c>
      <c r="D161" s="520">
        <f>C161-1</f>
        <v>6</v>
      </c>
      <c r="E161" s="516">
        <f t="shared" si="77"/>
        <v>2</v>
      </c>
      <c r="F161" s="517">
        <f t="shared" si="78"/>
        <v>1</v>
      </c>
      <c r="G161" s="198">
        <v>0</v>
      </c>
    </row>
    <row r="162" spans="1:7" x14ac:dyDescent="0.2">
      <c r="A162" s="514" t="s">
        <v>191</v>
      </c>
      <c r="B162" s="521">
        <f>T60</f>
        <v>13</v>
      </c>
      <c r="C162" s="515"/>
      <c r="D162" s="516">
        <f>B162-1</f>
        <v>12</v>
      </c>
      <c r="E162" s="516">
        <f t="shared" si="77"/>
        <v>5</v>
      </c>
      <c r="F162" s="517">
        <f t="shared" si="78"/>
        <v>4</v>
      </c>
      <c r="G162" s="198">
        <v>0</v>
      </c>
    </row>
    <row r="163" spans="1:7" x14ac:dyDescent="0.2">
      <c r="A163" s="514" t="s">
        <v>192</v>
      </c>
      <c r="B163" s="521">
        <f>B162</f>
        <v>13</v>
      </c>
      <c r="C163" s="515">
        <f>T61</f>
        <v>9</v>
      </c>
      <c r="D163" s="520">
        <f>C163-1</f>
        <v>8</v>
      </c>
      <c r="E163" s="516">
        <f t="shared" si="77"/>
        <v>4</v>
      </c>
      <c r="F163" s="517">
        <f t="shared" si="78"/>
        <v>3</v>
      </c>
      <c r="G163" s="198">
        <v>0</v>
      </c>
    </row>
    <row r="164" spans="1:7" x14ac:dyDescent="0.2">
      <c r="A164" s="514" t="s">
        <v>193</v>
      </c>
      <c r="B164" s="521">
        <f>T62</f>
        <v>11</v>
      </c>
      <c r="C164" s="515"/>
      <c r="D164" s="516">
        <f>B164-1</f>
        <v>10</v>
      </c>
      <c r="E164" s="516">
        <f t="shared" si="77"/>
        <v>5</v>
      </c>
      <c r="F164" s="517">
        <f t="shared" si="78"/>
        <v>4</v>
      </c>
      <c r="G164" s="198">
        <v>0</v>
      </c>
    </row>
    <row r="165" spans="1:7" x14ac:dyDescent="0.2">
      <c r="A165" s="514" t="s">
        <v>194</v>
      </c>
      <c r="B165" s="521">
        <f>B164</f>
        <v>11</v>
      </c>
      <c r="C165" s="515">
        <f>T63</f>
        <v>7</v>
      </c>
      <c r="D165" s="520">
        <f>C165-1</f>
        <v>6</v>
      </c>
      <c r="E165" s="516">
        <f t="shared" si="77"/>
        <v>4</v>
      </c>
      <c r="F165" s="517">
        <f t="shared" si="78"/>
        <v>3</v>
      </c>
      <c r="G165" s="198">
        <v>0</v>
      </c>
    </row>
    <row r="166" spans="1:7" x14ac:dyDescent="0.2">
      <c r="A166" s="514" t="s">
        <v>195</v>
      </c>
      <c r="B166" s="521">
        <f>T64</f>
        <v>12</v>
      </c>
      <c r="C166" s="515"/>
      <c r="D166" s="516">
        <f>B166-1</f>
        <v>11</v>
      </c>
      <c r="E166" s="516">
        <f t="shared" si="77"/>
        <v>5</v>
      </c>
      <c r="F166" s="517">
        <f t="shared" si="78"/>
        <v>4</v>
      </c>
      <c r="G166" s="198">
        <v>0</v>
      </c>
    </row>
    <row r="167" spans="1:7" ht="13.5" thickBot="1" x14ac:dyDescent="0.25">
      <c r="A167" s="522" t="s">
        <v>196</v>
      </c>
      <c r="B167" s="523">
        <f>B166</f>
        <v>12</v>
      </c>
      <c r="C167" s="523">
        <f>T65</f>
        <v>8</v>
      </c>
      <c r="D167" s="524">
        <f>C167-1</f>
        <v>7</v>
      </c>
      <c r="E167" s="524">
        <f t="shared" si="77"/>
        <v>4</v>
      </c>
      <c r="F167" s="525">
        <f t="shared" si="78"/>
        <v>3</v>
      </c>
      <c r="G167" s="526">
        <v>0</v>
      </c>
    </row>
    <row r="170" spans="1:7" x14ac:dyDescent="0.2">
      <c r="A170" s="349" t="s">
        <v>254</v>
      </c>
      <c r="B170" s="349" t="s">
        <v>296</v>
      </c>
    </row>
    <row r="171" spans="1:7" x14ac:dyDescent="0.2">
      <c r="A171" s="527" t="s">
        <v>256</v>
      </c>
      <c r="B171" s="528">
        <f>HLOOKUP($B$170,'EA-18G Mission System Summary'!$B$1:$G$12,2,FALSE)</f>
        <v>0.84704885052324919</v>
      </c>
    </row>
    <row r="172" spans="1:7" x14ac:dyDescent="0.2">
      <c r="A172" s="527" t="str">
        <f t="shared" ref="A172:A180" si="79">A39</f>
        <v>Ready EA-18G Advanced Threat Mission Systems (C)</v>
      </c>
      <c r="B172" s="528">
        <f>HLOOKUP($B$170,'EA-18G Mission System Summary'!$B$1:$G$12,3,FALSE)</f>
        <v>0.2276537063237638</v>
      </c>
    </row>
    <row r="173" spans="1:7" x14ac:dyDescent="0.2">
      <c r="A173" s="527" t="str">
        <f t="shared" si="79"/>
        <v>Ready EA-18G HARM Mission Systems (D)</v>
      </c>
      <c r="B173" s="528">
        <f>HLOOKUP($B$170,'EA-18G Mission System Summary'!$B$1:$G$12,4,FALSE)</f>
        <v>0.76880025789351136</v>
      </c>
    </row>
    <row r="174" spans="1:7" x14ac:dyDescent="0.2">
      <c r="A174" s="527" t="str">
        <f t="shared" si="79"/>
        <v>Ready EA-18G AMRAAM Mission Systems (E)</v>
      </c>
      <c r="B174" s="528">
        <f>HLOOKUP($B$170,'EA-18G Mission System Summary'!$B$1:$G$12,5,FALSE)</f>
        <v>0.77234629367623608</v>
      </c>
    </row>
    <row r="175" spans="1:7" x14ac:dyDescent="0.2">
      <c r="A175" s="527" t="str">
        <f t="shared" si="79"/>
        <v>Ready EA-18G Ready Survivablity Mission System (F)</v>
      </c>
      <c r="B175" s="528">
        <f>HLOOKUP($B$170,'EA-18G Mission System Summary'!$B$1:$G$12,6,FALSE)</f>
        <v>0.76880025789351136</v>
      </c>
    </row>
    <row r="176" spans="1:7" x14ac:dyDescent="0.2">
      <c r="A176" s="527" t="str">
        <f t="shared" si="79"/>
        <v>Ready EA-18G Airborn Electronic Attack (AEA) System (G)</v>
      </c>
      <c r="B176" s="528">
        <f>HLOOKUP($B$170,'EA-18G Mission System Summary'!$B$1:$G$12,7,FALSE)</f>
        <v>0.77234629367623608</v>
      </c>
    </row>
    <row r="177" spans="1:2" x14ac:dyDescent="0.2">
      <c r="A177" s="527" t="str">
        <f t="shared" si="79"/>
        <v>Ready EA-18G Air Refueling System (I)</v>
      </c>
      <c r="B177" s="528">
        <f>HLOOKUP($B$170,'EA-18G Mission System Summary'!$B$1:$G$12,8,FALSE)</f>
        <v>0.2276537063237638</v>
      </c>
    </row>
    <row r="178" spans="1:2" x14ac:dyDescent="0.2">
      <c r="A178" s="527" t="str">
        <f t="shared" si="79"/>
        <v>Ready EA-18G Ready Tactical Navigation Systems (J)</v>
      </c>
      <c r="B178" s="528">
        <f>HLOOKUP($B$170,'EA-18G Mission System Summary'!$B$1:$G$12,9,FALSE)</f>
        <v>0.77234629367623608</v>
      </c>
    </row>
    <row r="179" spans="1:2" x14ac:dyDescent="0.2">
      <c r="A179" s="527" t="str">
        <f t="shared" si="79"/>
        <v>Ready EA-18G Shipboard Mission Systems (K)</v>
      </c>
      <c r="B179" s="528">
        <f>HLOOKUP($B$170,'EA-18G Mission System Summary'!$B$1:$G$12,10,FALSE)</f>
        <v>0.2276537063237638</v>
      </c>
    </row>
    <row r="180" spans="1:2" x14ac:dyDescent="0.2">
      <c r="A180" s="527" t="str">
        <f t="shared" si="79"/>
        <v>Ready EA-18G IMC Flight Mission Systems (L)</v>
      </c>
      <c r="B180" s="528">
        <f>HLOOKUP($B$170,'EA-18G Mission System Summary'!$B$1:$G$12,11,FALSE)</f>
        <v>1</v>
      </c>
    </row>
  </sheetData>
  <mergeCells count="19">
    <mergeCell ref="Q16:S16"/>
    <mergeCell ref="T16:V16"/>
    <mergeCell ref="W16:X16"/>
    <mergeCell ref="M1:P1"/>
    <mergeCell ref="B16:D16"/>
    <mergeCell ref="G16:H16"/>
    <mergeCell ref="J16:K16"/>
    <mergeCell ref="N16:P16"/>
    <mergeCell ref="AG17:AJ17"/>
    <mergeCell ref="AG28:AH28"/>
    <mergeCell ref="AG38:AH38"/>
    <mergeCell ref="F137:G137"/>
    <mergeCell ref="A103:B103"/>
    <mergeCell ref="A104:B104"/>
    <mergeCell ref="A118:B118"/>
    <mergeCell ref="A122:B122"/>
    <mergeCell ref="B137:C137"/>
    <mergeCell ref="D137:E137"/>
    <mergeCell ref="A93:Y93"/>
  </mergeCells>
  <conditionalFormatting sqref="C151">
    <cfRule type="cellIs" dxfId="60" priority="79" operator="equal">
      <formula>B151</formula>
    </cfRule>
  </conditionalFormatting>
  <conditionalFormatting sqref="D151:E151">
    <cfRule type="cellIs" dxfId="59" priority="82" operator="equal">
      <formula>C151</formula>
    </cfRule>
  </conditionalFormatting>
  <conditionalFormatting sqref="F151">
    <cfRule type="cellIs" dxfId="58" priority="80" operator="equal">
      <formula>E151</formula>
    </cfRule>
    <cfRule type="cellIs" dxfId="57" priority="81" operator="equal">
      <formula>G151</formula>
    </cfRule>
  </conditionalFormatting>
  <conditionalFormatting sqref="F139">
    <cfRule type="cellIs" dxfId="56" priority="75" operator="equal">
      <formula>E139</formula>
    </cfRule>
  </conditionalFormatting>
  <conditionalFormatting sqref="F139">
    <cfRule type="cellIs" dxfId="55" priority="73" operator="equal">
      <formula>E139</formula>
    </cfRule>
  </conditionalFormatting>
  <conditionalFormatting sqref="F139">
    <cfRule type="cellIs" dxfId="54" priority="72" operator="equal">
      <formula>E139</formula>
    </cfRule>
  </conditionalFormatting>
  <conditionalFormatting sqref="D139">
    <cfRule type="cellIs" dxfId="53" priority="71" operator="equal">
      <formula>C139</formula>
    </cfRule>
  </conditionalFormatting>
  <conditionalFormatting sqref="E139">
    <cfRule type="cellIs" dxfId="52" priority="76" operator="equal">
      <formula>D139</formula>
    </cfRule>
  </conditionalFormatting>
  <conditionalFormatting sqref="F140:F141">
    <cfRule type="cellIs" dxfId="51" priority="70" operator="equal">
      <formula>E140</formula>
    </cfRule>
    <cfRule type="cellIs" dxfId="50" priority="74" operator="equal">
      <formula>G140</formula>
    </cfRule>
  </conditionalFormatting>
  <conditionalFormatting sqref="D139">
    <cfRule type="cellIs" dxfId="49" priority="77" operator="equal">
      <formula>C139</formula>
    </cfRule>
  </conditionalFormatting>
  <conditionalFormatting sqref="C139">
    <cfRule type="cellIs" dxfId="48" priority="69" operator="equal">
      <formula>B139</formula>
    </cfRule>
  </conditionalFormatting>
  <conditionalFormatting sqref="C140">
    <cfRule type="cellIs" dxfId="47" priority="68" operator="equal">
      <formula>B140</formula>
    </cfRule>
  </conditionalFormatting>
  <conditionalFormatting sqref="E140">
    <cfRule type="cellIs" dxfId="46" priority="67" operator="equal">
      <formula>D140</formula>
    </cfRule>
  </conditionalFormatting>
  <conditionalFormatting sqref="E152:E167">
    <cfRule type="cellIs" dxfId="45" priority="37" operator="equal">
      <formula>D152</formula>
    </cfRule>
  </conditionalFormatting>
  <conditionalFormatting sqref="D152:D153">
    <cfRule type="cellIs" dxfId="44" priority="42" operator="equal">
      <formula>C152</formula>
    </cfRule>
  </conditionalFormatting>
  <conditionalFormatting sqref="F152:F167">
    <cfRule type="cellIs" dxfId="43" priority="40" operator="equal">
      <formula>E152</formula>
    </cfRule>
    <cfRule type="cellIs" dxfId="42" priority="41" operator="equal">
      <formula>G152</formula>
    </cfRule>
  </conditionalFormatting>
  <conditionalFormatting sqref="C152 C154 C156 C158 C160">
    <cfRule type="cellIs" dxfId="41" priority="39" operator="equal">
      <formula>B152</formula>
    </cfRule>
  </conditionalFormatting>
  <conditionalFormatting sqref="C162">
    <cfRule type="cellIs" dxfId="40" priority="38" operator="equal">
      <formula>B162</formula>
    </cfRule>
  </conditionalFormatting>
  <conditionalFormatting sqref="C153">
    <cfRule type="cellIs" dxfId="39" priority="36" operator="equal">
      <formula>B153</formula>
    </cfRule>
  </conditionalFormatting>
  <conditionalFormatting sqref="C164 C166">
    <cfRule type="cellIs" dxfId="38" priority="35" operator="equal">
      <formula>B164</formula>
    </cfRule>
  </conditionalFormatting>
  <conditionalFormatting sqref="C155">
    <cfRule type="cellIs" dxfId="37" priority="34" operator="equal">
      <formula>B155</formula>
    </cfRule>
  </conditionalFormatting>
  <conditionalFormatting sqref="C157">
    <cfRule type="cellIs" dxfId="36" priority="33" operator="equal">
      <formula>B157</formula>
    </cfRule>
  </conditionalFormatting>
  <conditionalFormatting sqref="C159">
    <cfRule type="cellIs" dxfId="35" priority="32" operator="equal">
      <formula>B159</formula>
    </cfRule>
  </conditionalFormatting>
  <conditionalFormatting sqref="C161">
    <cfRule type="cellIs" dxfId="34" priority="31" operator="equal">
      <formula>B161</formula>
    </cfRule>
  </conditionalFormatting>
  <conditionalFormatting sqref="C163">
    <cfRule type="cellIs" dxfId="33" priority="30" operator="equal">
      <formula>B163</formula>
    </cfRule>
  </conditionalFormatting>
  <conditionalFormatting sqref="C165">
    <cfRule type="cellIs" dxfId="32" priority="29" operator="equal">
      <formula>B165</formula>
    </cfRule>
  </conditionalFormatting>
  <conditionalFormatting sqref="C167">
    <cfRule type="cellIs" dxfId="31" priority="28" operator="equal">
      <formula>B167</formula>
    </cfRule>
  </conditionalFormatting>
  <conditionalFormatting sqref="D154:D155">
    <cfRule type="cellIs" dxfId="30" priority="27" operator="equal">
      <formula>C154</formula>
    </cfRule>
  </conditionalFormatting>
  <conditionalFormatting sqref="D156:D157">
    <cfRule type="cellIs" dxfId="29" priority="26" operator="equal">
      <formula>C156</formula>
    </cfRule>
  </conditionalFormatting>
  <conditionalFormatting sqref="D158:D159">
    <cfRule type="cellIs" dxfId="28" priority="25" operator="equal">
      <formula>C158</formula>
    </cfRule>
  </conditionalFormatting>
  <conditionalFormatting sqref="D160:D161">
    <cfRule type="cellIs" dxfId="27" priority="24" operator="equal">
      <formula>C160</formula>
    </cfRule>
  </conditionalFormatting>
  <conditionalFormatting sqref="D162:D163">
    <cfRule type="cellIs" dxfId="26" priority="23" operator="equal">
      <formula>C162</formula>
    </cfRule>
  </conditionalFormatting>
  <conditionalFormatting sqref="D164:D165">
    <cfRule type="cellIs" dxfId="25" priority="22" operator="equal">
      <formula>C164</formula>
    </cfRule>
  </conditionalFormatting>
  <conditionalFormatting sqref="D166:D167">
    <cfRule type="cellIs" dxfId="24" priority="21" operator="equal">
      <formula>C166</formula>
    </cfRule>
  </conditionalFormatting>
  <conditionalFormatting sqref="B124:B127 B130:B135">
    <cfRule type="cellIs" dxfId="23" priority="78" operator="notEqual">
      <formula>#REF!</formula>
    </cfRule>
  </conditionalFormatting>
  <conditionalFormatting sqref="E149:E150">
    <cfRule type="cellIs" dxfId="22" priority="8" operator="equal">
      <formula>D149</formula>
    </cfRule>
  </conditionalFormatting>
  <conditionalFormatting sqref="F142">
    <cfRule type="cellIs" dxfId="21" priority="18" operator="equal">
      <formula>E142</formula>
    </cfRule>
  </conditionalFormatting>
  <conditionalFormatting sqref="C142:C148">
    <cfRule type="cellIs" dxfId="20" priority="17" operator="equal">
      <formula>B142</formula>
    </cfRule>
  </conditionalFormatting>
  <conditionalFormatting sqref="E142">
    <cfRule type="cellIs" dxfId="19" priority="16" operator="equal">
      <formula>D142</formula>
    </cfRule>
  </conditionalFormatting>
  <conditionalFormatting sqref="E143">
    <cfRule type="cellIs" dxfId="18" priority="15" operator="equal">
      <formula>D143</formula>
    </cfRule>
  </conditionalFormatting>
  <conditionalFormatting sqref="E144">
    <cfRule type="cellIs" dxfId="17" priority="14" operator="equal">
      <formula>D144</formula>
    </cfRule>
  </conditionalFormatting>
  <conditionalFormatting sqref="E145">
    <cfRule type="cellIs" dxfId="16" priority="13" operator="equal">
      <formula>D145</formula>
    </cfRule>
  </conditionalFormatting>
  <conditionalFormatting sqref="E146">
    <cfRule type="cellIs" dxfId="15" priority="12" operator="equal">
      <formula>D146</formula>
    </cfRule>
  </conditionalFormatting>
  <conditionalFormatting sqref="E147">
    <cfRule type="cellIs" dxfId="14" priority="11" operator="equal">
      <formula>D147</formula>
    </cfRule>
  </conditionalFormatting>
  <conditionalFormatting sqref="E148">
    <cfRule type="cellIs" dxfId="13" priority="10" operator="equal">
      <formula>D148</formula>
    </cfRule>
  </conditionalFormatting>
  <conditionalFormatting sqref="C149:C150">
    <cfRule type="cellIs" dxfId="12" priority="9" operator="equal">
      <formula>B149</formula>
    </cfRule>
  </conditionalFormatting>
  <conditionalFormatting sqref="F143">
    <cfRule type="cellIs" dxfId="11" priority="7" operator="equal">
      <formula>E143</formula>
    </cfRule>
  </conditionalFormatting>
  <conditionalFormatting sqref="F144">
    <cfRule type="cellIs" dxfId="10" priority="6" operator="equal">
      <formula>E144</formula>
    </cfRule>
  </conditionalFormatting>
  <conditionalFormatting sqref="F145">
    <cfRule type="cellIs" dxfId="9" priority="5" operator="equal">
      <formula>E145</formula>
    </cfRule>
  </conditionalFormatting>
  <conditionalFormatting sqref="F146">
    <cfRule type="cellIs" dxfId="8" priority="4" operator="equal">
      <formula>E146</formula>
    </cfRule>
  </conditionalFormatting>
  <conditionalFormatting sqref="F147">
    <cfRule type="cellIs" dxfId="7" priority="3" operator="equal">
      <formula>E147</formula>
    </cfRule>
  </conditionalFormatting>
  <conditionalFormatting sqref="F148">
    <cfRule type="cellIs" dxfId="6" priority="2" operator="equal">
      <formula>E148</formula>
    </cfRule>
  </conditionalFormatting>
  <conditionalFormatting sqref="F149:F150">
    <cfRule type="cellIs" dxfId="5" priority="1" operator="equal">
      <formula>E149</formula>
    </cfRule>
  </conditionalFormatting>
  <dataValidations count="1">
    <dataValidation type="list" allowBlank="1" showInputMessage="1" showErrorMessage="1" sqref="AH20" xr:uid="{00000000-0002-0000-0800-000000000000}">
      <formula1>$B$14:$X$14</formula1>
    </dataValidation>
  </dataValidations>
  <hyperlinks>
    <hyperlink ref="J137" location="Inventory!A1" display="Inventory" xr:uid="{00000000-0004-0000-0800-000000000000}"/>
    <hyperlink ref="J138" location="'VAQ (5 EA-18G) Reserve CVW'!A1" display="Top" xr:uid="{00000000-0004-0000-0800-000001000000}"/>
    <hyperlink ref="H1" location="Inventory!A1" display="Inventory" xr:uid="{00000000-0004-0000-0800-000002000000}"/>
    <hyperlink ref="H2" location="'VAQ (5 EA-18G) Reserve CVW'!A167" display="AMFOM" xr:uid="{00000000-0004-0000-0800-000003000000}"/>
  </hyperlinks>
  <printOptions horizontalCentered="1" verticalCentered="1"/>
  <pageMargins left="0.5" right="0.25" top="0.5" bottom="0.5" header="0.5" footer="0.5"/>
  <pageSetup scale="34"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61"/>
  <sheetViews>
    <sheetView showGridLines="0" zoomScaleNormal="100" zoomScaleSheetLayoutView="100" workbookViewId="0">
      <selection activeCell="H1" sqref="H1"/>
    </sheetView>
  </sheetViews>
  <sheetFormatPr defaultRowHeight="11.25" x14ac:dyDescent="0.2"/>
  <cols>
    <col min="1" max="1" width="44.85546875" style="263" bestFit="1" customWidth="1"/>
    <col min="2" max="2" width="5.7109375" style="263" customWidth="1"/>
    <col min="3" max="6" width="5.7109375" style="260" customWidth="1"/>
    <col min="7" max="15" width="5.7109375" style="261" customWidth="1"/>
    <col min="16" max="17" width="5.7109375" style="262" customWidth="1"/>
    <col min="18" max="29" width="5.7109375" style="263" customWidth="1"/>
    <col min="30" max="30" width="6.28515625" style="263" bestFit="1" customWidth="1"/>
    <col min="31" max="16384" width="9.140625" style="263"/>
  </cols>
  <sheetData>
    <row r="1" spans="1:47" s="253" customFormat="1" ht="18.75" x14ac:dyDescent="0.3">
      <c r="A1" s="669" t="s">
        <v>297</v>
      </c>
      <c r="B1" s="669"/>
      <c r="C1" s="669"/>
      <c r="D1" s="669"/>
      <c r="E1" s="669"/>
      <c r="F1" s="669"/>
      <c r="H1" s="252" t="s">
        <v>63</v>
      </c>
      <c r="L1" s="254" t="s">
        <v>2</v>
      </c>
      <c r="M1" s="670">
        <v>44835</v>
      </c>
      <c r="N1" s="670"/>
      <c r="O1" s="255"/>
      <c r="P1" s="256"/>
      <c r="Q1" s="256"/>
      <c r="AB1" s="314"/>
      <c r="AC1" s="314" t="s">
        <v>64</v>
      </c>
      <c r="AD1" s="315">
        <v>5.08</v>
      </c>
    </row>
    <row r="2" spans="1:47" ht="12" x14ac:dyDescent="0.2">
      <c r="A2" s="257"/>
      <c r="B2" s="258" t="s">
        <v>298</v>
      </c>
      <c r="C2" s="259"/>
    </row>
    <row r="3" spans="1:47" ht="12" x14ac:dyDescent="0.2">
      <c r="A3" s="264" t="s">
        <v>299</v>
      </c>
      <c r="B3" s="320">
        <v>25</v>
      </c>
      <c r="C3" s="265"/>
    </row>
    <row r="4" spans="1:47" ht="12" x14ac:dyDescent="0.2">
      <c r="A4" s="264"/>
      <c r="B4" s="320"/>
      <c r="C4" s="265"/>
    </row>
    <row r="5" spans="1:47" x14ac:dyDescent="0.2">
      <c r="A5" s="257"/>
      <c r="B5" s="321"/>
      <c r="C5" s="263"/>
    </row>
    <row r="6" spans="1:47" x14ac:dyDescent="0.2">
      <c r="A6" s="257"/>
      <c r="B6" s="321"/>
      <c r="C6" s="263"/>
    </row>
    <row r="7" spans="1:47" ht="56.25" customHeight="1" x14ac:dyDescent="0.2">
      <c r="A7" s="412" t="s">
        <v>79</v>
      </c>
      <c r="B7" s="416" t="s">
        <v>300</v>
      </c>
      <c r="C7" s="279"/>
      <c r="F7" s="263"/>
    </row>
    <row r="8" spans="1:47" ht="12" x14ac:dyDescent="0.2">
      <c r="A8" s="412" t="s">
        <v>88</v>
      </c>
      <c r="B8" s="589" t="s">
        <v>301</v>
      </c>
      <c r="C8" s="280"/>
      <c r="F8" s="263"/>
    </row>
    <row r="9" spans="1:47" s="266" customFormat="1" ht="12" x14ac:dyDescent="0.2">
      <c r="A9" s="412" t="s">
        <v>117</v>
      </c>
      <c r="B9" s="417">
        <v>1</v>
      </c>
      <c r="C9" s="281"/>
      <c r="D9" s="260"/>
      <c r="E9" s="260"/>
      <c r="G9" s="261"/>
      <c r="H9" s="261"/>
      <c r="I9" s="261"/>
      <c r="J9" s="261"/>
      <c r="K9" s="261"/>
      <c r="L9" s="261"/>
      <c r="M9" s="261"/>
      <c r="N9" s="261"/>
      <c r="O9" s="261"/>
      <c r="P9" s="267"/>
      <c r="Q9" s="267"/>
    </row>
    <row r="10" spans="1:47" s="266" customFormat="1" ht="12" x14ac:dyDescent="0.2">
      <c r="A10" s="412" t="s">
        <v>118</v>
      </c>
      <c r="B10" s="417" t="s">
        <v>300</v>
      </c>
      <c r="C10" s="282"/>
      <c r="D10" s="260"/>
      <c r="E10" s="260"/>
      <c r="G10" s="261"/>
      <c r="H10" s="261"/>
      <c r="I10" s="261"/>
      <c r="J10" s="261"/>
      <c r="K10" s="261"/>
      <c r="L10" s="261"/>
      <c r="M10" s="261"/>
      <c r="N10" s="261"/>
      <c r="O10" s="261"/>
      <c r="P10" s="267"/>
      <c r="Q10" s="267"/>
    </row>
    <row r="11" spans="1:47" s="266" customFormat="1" ht="12.75" x14ac:dyDescent="0.2">
      <c r="A11" s="439" t="s">
        <v>151</v>
      </c>
      <c r="B11" s="417"/>
      <c r="C11" s="281"/>
      <c r="D11" s="260"/>
      <c r="E11" s="260"/>
      <c r="G11" s="261"/>
      <c r="H11" s="268"/>
      <c r="I11" s="261"/>
      <c r="J11" s="261"/>
      <c r="K11" s="261"/>
      <c r="L11" s="261"/>
      <c r="M11" s="261"/>
      <c r="N11" s="261"/>
      <c r="O11" s="261"/>
      <c r="P11" s="267"/>
      <c r="Q11" s="267"/>
    </row>
    <row r="12" spans="1:47" s="266" customFormat="1" ht="12" x14ac:dyDescent="0.2">
      <c r="A12" s="412" t="s">
        <v>153</v>
      </c>
      <c r="B12" s="422" t="s">
        <v>302</v>
      </c>
      <c r="C12" s="283"/>
      <c r="D12" s="260"/>
      <c r="E12" s="260"/>
      <c r="G12" s="261"/>
      <c r="H12" s="269"/>
      <c r="I12" s="261"/>
      <c r="J12" s="261"/>
      <c r="K12" s="261"/>
      <c r="L12" s="261"/>
      <c r="M12" s="261"/>
      <c r="N12" s="261"/>
      <c r="O12" s="261"/>
      <c r="P12" s="267"/>
      <c r="Q12" s="267"/>
    </row>
    <row r="13" spans="1:47" s="266" customFormat="1" ht="12" x14ac:dyDescent="0.2">
      <c r="A13" s="412" t="s">
        <v>154</v>
      </c>
      <c r="B13" s="422">
        <v>0.75</v>
      </c>
      <c r="C13" s="283"/>
      <c r="D13" s="260"/>
      <c r="E13" s="260"/>
      <c r="G13" s="261"/>
      <c r="H13" s="270"/>
      <c r="I13" s="261"/>
      <c r="J13" s="261"/>
      <c r="K13" s="261"/>
      <c r="L13" s="261"/>
      <c r="M13" s="261"/>
      <c r="N13" s="261"/>
      <c r="O13" s="261"/>
      <c r="P13" s="267"/>
      <c r="Q13" s="267"/>
    </row>
    <row r="14" spans="1:47" s="266" customFormat="1" ht="12" x14ac:dyDescent="0.2">
      <c r="A14" s="590" t="s">
        <v>158</v>
      </c>
      <c r="B14" s="422">
        <v>0.25</v>
      </c>
      <c r="C14" s="283"/>
      <c r="D14" s="260"/>
      <c r="E14" s="260"/>
      <c r="G14" s="261"/>
      <c r="H14" s="270"/>
      <c r="I14" s="261"/>
      <c r="J14" s="261"/>
      <c r="K14" s="261"/>
      <c r="L14" s="261"/>
      <c r="M14" s="261"/>
      <c r="N14" s="261"/>
      <c r="O14" s="261"/>
      <c r="P14" s="267"/>
      <c r="Q14" s="267"/>
    </row>
    <row r="15" spans="1:47" ht="12.75" x14ac:dyDescent="0.2">
      <c r="A15" s="591" t="s">
        <v>303</v>
      </c>
      <c r="B15" s="592" t="s">
        <v>298</v>
      </c>
      <c r="C15" s="284"/>
      <c r="D15" s="271"/>
      <c r="E15" s="271"/>
      <c r="F15" s="263"/>
      <c r="G15" s="272"/>
      <c r="H15" s="263"/>
      <c r="I15" s="272"/>
      <c r="J15" s="272"/>
      <c r="K15" s="272"/>
      <c r="L15" s="272"/>
      <c r="M15" s="272"/>
      <c r="N15" s="272"/>
      <c r="O15" s="272"/>
      <c r="P15" s="273"/>
      <c r="Q15" s="273"/>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row>
    <row r="16" spans="1:47" s="278" customFormat="1" ht="12" x14ac:dyDescent="0.2">
      <c r="A16" s="427" t="s">
        <v>160</v>
      </c>
      <c r="B16" s="593">
        <v>16</v>
      </c>
      <c r="C16" s="285"/>
      <c r="D16" s="275"/>
      <c r="E16" s="275"/>
      <c r="F16" s="275"/>
      <c r="G16" s="276"/>
      <c r="H16" s="276"/>
      <c r="I16" s="276"/>
      <c r="J16" s="276"/>
      <c r="K16" s="276"/>
      <c r="L16" s="276"/>
      <c r="M16" s="276"/>
      <c r="N16" s="276"/>
      <c r="O16" s="276"/>
      <c r="P16" s="277"/>
      <c r="Q16" s="277"/>
    </row>
    <row r="17" spans="1:47" ht="12" x14ac:dyDescent="0.2">
      <c r="A17" s="427" t="s">
        <v>134</v>
      </c>
      <c r="B17" s="593">
        <f>B16*B13</f>
        <v>12</v>
      </c>
      <c r="C17" s="285"/>
      <c r="D17" s="271"/>
      <c r="E17" s="271"/>
      <c r="F17" s="271"/>
      <c r="G17" s="272"/>
      <c r="H17" s="272"/>
      <c r="I17" s="272"/>
      <c r="J17" s="272"/>
      <c r="K17" s="272"/>
      <c r="L17" s="272"/>
      <c r="M17" s="272"/>
      <c r="N17" s="272"/>
      <c r="O17" s="272"/>
      <c r="P17" s="273"/>
      <c r="Q17" s="273"/>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row>
    <row r="18" spans="1:47" ht="12" x14ac:dyDescent="0.2">
      <c r="A18" s="450" t="s">
        <v>162</v>
      </c>
      <c r="B18" s="344">
        <f>B16*B14</f>
        <v>4</v>
      </c>
      <c r="C18" s="285"/>
      <c r="D18" s="271"/>
      <c r="E18" s="271"/>
      <c r="F18" s="271"/>
      <c r="G18" s="272"/>
      <c r="H18" s="272"/>
      <c r="I18" s="272"/>
      <c r="J18" s="272"/>
      <c r="K18" s="272"/>
      <c r="L18" s="272"/>
      <c r="M18" s="272"/>
      <c r="N18" s="272"/>
      <c r="O18" s="272"/>
      <c r="P18" s="273"/>
      <c r="Q18" s="273"/>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row>
    <row r="19" spans="1:47" ht="12" x14ac:dyDescent="0.2">
      <c r="A19" s="570" t="s">
        <v>163</v>
      </c>
      <c r="B19" s="388"/>
      <c r="C19" s="286"/>
      <c r="D19" s="271"/>
      <c r="E19" s="271"/>
      <c r="F19" s="271"/>
      <c r="G19" s="272"/>
      <c r="H19" s="272"/>
      <c r="I19" s="272"/>
      <c r="J19" s="272"/>
      <c r="K19" s="272"/>
      <c r="L19" s="272"/>
      <c r="M19" s="272"/>
      <c r="N19" s="272"/>
      <c r="O19" s="272"/>
      <c r="P19" s="273"/>
      <c r="Q19" s="273"/>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row>
    <row r="20" spans="1:47" s="278" customFormat="1" ht="12" x14ac:dyDescent="0.2">
      <c r="A20" s="455" t="s">
        <v>165</v>
      </c>
      <c r="B20" s="388">
        <v>4</v>
      </c>
      <c r="C20" s="287"/>
      <c r="D20" s="275"/>
      <c r="E20" s="275"/>
      <c r="F20" s="275"/>
      <c r="G20" s="276"/>
      <c r="H20" s="276"/>
      <c r="I20" s="276"/>
      <c r="J20" s="276"/>
      <c r="K20" s="276"/>
      <c r="L20" s="276"/>
      <c r="M20" s="276"/>
      <c r="N20" s="276"/>
      <c r="O20" s="276"/>
      <c r="P20" s="277"/>
      <c r="Q20" s="277"/>
    </row>
    <row r="21" spans="1:47" ht="12" x14ac:dyDescent="0.2">
      <c r="A21" s="455" t="s">
        <v>167</v>
      </c>
      <c r="B21" s="388">
        <v>4</v>
      </c>
      <c r="C21" s="287"/>
      <c r="D21" s="271"/>
      <c r="E21" s="271"/>
      <c r="F21" s="271"/>
      <c r="G21" s="272"/>
      <c r="H21" s="272"/>
      <c r="I21" s="272"/>
      <c r="J21" s="272"/>
      <c r="K21" s="272"/>
      <c r="L21" s="272"/>
      <c r="M21" s="272"/>
      <c r="N21" s="272"/>
      <c r="O21" s="272"/>
      <c r="P21" s="273"/>
      <c r="Q21" s="273"/>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row>
    <row r="22" spans="1:47" ht="12" x14ac:dyDescent="0.2">
      <c r="A22" s="455" t="s">
        <v>168</v>
      </c>
      <c r="B22" s="388">
        <v>4</v>
      </c>
      <c r="C22" s="287"/>
      <c r="D22" s="271"/>
      <c r="E22" s="271"/>
      <c r="F22" s="271"/>
      <c r="G22" s="272"/>
      <c r="H22" s="272"/>
      <c r="I22" s="272"/>
      <c r="J22" s="272"/>
      <c r="K22" s="272"/>
      <c r="L22" s="272"/>
      <c r="M22" s="272"/>
      <c r="N22" s="272"/>
      <c r="O22" s="272"/>
      <c r="P22" s="273"/>
      <c r="Q22" s="273"/>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row>
    <row r="23" spans="1:47" s="278" customFormat="1" ht="12" x14ac:dyDescent="0.2">
      <c r="A23" s="421" t="s">
        <v>170</v>
      </c>
      <c r="B23" s="388">
        <v>4</v>
      </c>
      <c r="C23" s="287"/>
      <c r="D23" s="275"/>
      <c r="E23" s="275"/>
      <c r="F23" s="275"/>
      <c r="G23" s="276"/>
      <c r="H23" s="276"/>
      <c r="I23" s="276"/>
      <c r="J23" s="276"/>
      <c r="K23" s="276"/>
      <c r="L23" s="276"/>
      <c r="M23" s="276"/>
      <c r="N23" s="276"/>
      <c r="O23" s="276"/>
      <c r="P23" s="277"/>
      <c r="Q23" s="277"/>
    </row>
    <row r="24" spans="1:47" ht="12" x14ac:dyDescent="0.2">
      <c r="A24" s="455" t="s">
        <v>171</v>
      </c>
      <c r="B24" s="388">
        <v>4</v>
      </c>
      <c r="C24" s="286"/>
      <c r="D24" s="271"/>
      <c r="E24" s="271"/>
      <c r="F24" s="271"/>
      <c r="G24" s="272"/>
      <c r="H24" s="272"/>
      <c r="I24" s="272"/>
      <c r="J24" s="272"/>
      <c r="K24" s="272"/>
      <c r="L24" s="272"/>
      <c r="M24" s="272"/>
      <c r="N24" s="272"/>
      <c r="O24" s="272"/>
      <c r="P24" s="273"/>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row>
    <row r="25" spans="1:47" ht="12" x14ac:dyDescent="0.2">
      <c r="A25" s="455" t="s">
        <v>173</v>
      </c>
      <c r="B25" s="388">
        <v>4</v>
      </c>
      <c r="C25" s="271"/>
      <c r="D25" s="271"/>
      <c r="E25" s="271"/>
      <c r="F25" s="271"/>
      <c r="G25" s="272"/>
      <c r="H25" s="272"/>
      <c r="I25" s="272"/>
      <c r="J25" s="272"/>
      <c r="K25" s="272"/>
      <c r="L25" s="272"/>
      <c r="M25" s="272"/>
      <c r="N25" s="272"/>
      <c r="O25" s="272"/>
      <c r="P25" s="273"/>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row>
    <row r="26" spans="1:47" ht="12" x14ac:dyDescent="0.2">
      <c r="A26" s="455" t="s">
        <v>174</v>
      </c>
      <c r="B26" s="388">
        <v>4</v>
      </c>
      <c r="C26" s="271"/>
      <c r="D26" s="271"/>
      <c r="E26" s="271"/>
      <c r="F26" s="271"/>
      <c r="G26" s="272"/>
      <c r="H26" s="272"/>
      <c r="I26" s="272"/>
      <c r="J26" s="272"/>
      <c r="K26" s="272"/>
      <c r="L26" s="272"/>
      <c r="M26" s="272"/>
      <c r="N26" s="272"/>
      <c r="O26" s="272"/>
      <c r="P26" s="273"/>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row>
    <row r="27" spans="1:47" ht="12" x14ac:dyDescent="0.2">
      <c r="A27" s="457" t="s">
        <v>176</v>
      </c>
      <c r="B27" s="388">
        <v>4</v>
      </c>
      <c r="C27" s="271"/>
      <c r="D27" s="271"/>
      <c r="E27" s="271"/>
      <c r="F27" s="271"/>
      <c r="G27" s="272"/>
      <c r="H27" s="272"/>
      <c r="I27" s="272"/>
      <c r="J27" s="272"/>
      <c r="K27" s="272"/>
      <c r="L27" s="272"/>
      <c r="M27" s="272"/>
      <c r="N27" s="272"/>
      <c r="O27" s="272"/>
      <c r="P27" s="273"/>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row>
    <row r="28" spans="1:47" ht="12.75" x14ac:dyDescent="0.2">
      <c r="A28" s="458" t="s">
        <v>177</v>
      </c>
      <c r="B28" s="388">
        <v>12</v>
      </c>
      <c r="C28" s="271"/>
      <c r="D28" s="271"/>
      <c r="E28" s="271"/>
      <c r="F28" s="271"/>
      <c r="G28" s="272"/>
      <c r="H28" s="272"/>
      <c r="I28" s="272"/>
      <c r="J28" s="272"/>
      <c r="K28" s="272"/>
      <c r="L28" s="272"/>
      <c r="M28" s="272"/>
      <c r="N28" s="272"/>
      <c r="O28" s="272"/>
      <c r="P28" s="273"/>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row>
    <row r="29" spans="1:47" ht="12" x14ac:dyDescent="0.2">
      <c r="A29" s="570" t="s">
        <v>179</v>
      </c>
      <c r="B29" s="448"/>
      <c r="C29" s="271"/>
      <c r="D29" s="271"/>
      <c r="E29" s="271"/>
      <c r="F29" s="271"/>
      <c r="G29" s="272"/>
      <c r="H29" s="272"/>
      <c r="I29" s="272"/>
      <c r="J29" s="272"/>
      <c r="K29" s="272"/>
      <c r="L29" s="272"/>
      <c r="M29" s="272"/>
      <c r="N29" s="272"/>
      <c r="O29" s="272"/>
      <c r="P29" s="273"/>
      <c r="Q29" s="273"/>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row>
    <row r="30" spans="1:47" ht="12" x14ac:dyDescent="0.2">
      <c r="A30" s="571" t="s">
        <v>180</v>
      </c>
      <c r="B30" s="572"/>
      <c r="C30" s="271"/>
      <c r="D30" s="271"/>
      <c r="E30" s="271"/>
      <c r="F30" s="271"/>
      <c r="G30" s="272"/>
      <c r="H30" s="272"/>
      <c r="I30" s="272"/>
      <c r="J30" s="272"/>
      <c r="K30" s="272"/>
      <c r="L30" s="272"/>
      <c r="M30" s="272"/>
      <c r="N30" s="272"/>
      <c r="O30" s="272"/>
      <c r="P30" s="273"/>
      <c r="Q30" s="273"/>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row>
    <row r="31" spans="1:47" ht="12" x14ac:dyDescent="0.2">
      <c r="A31" s="571" t="s">
        <v>148</v>
      </c>
      <c r="B31" s="572"/>
      <c r="C31" s="271"/>
      <c r="D31" s="271"/>
      <c r="E31" s="271"/>
      <c r="F31" s="271"/>
      <c r="G31" s="272"/>
      <c r="H31" s="272"/>
      <c r="I31" s="272"/>
      <c r="J31" s="272"/>
      <c r="K31" s="272"/>
      <c r="L31" s="272"/>
      <c r="M31" s="272"/>
      <c r="N31" s="272"/>
      <c r="O31" s="272"/>
      <c r="P31" s="273"/>
      <c r="Q31" s="273"/>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row>
    <row r="32" spans="1:47" ht="12" x14ac:dyDescent="0.2">
      <c r="A32" s="567" t="s">
        <v>182</v>
      </c>
      <c r="B32" s="574"/>
      <c r="C32" s="271"/>
      <c r="D32" s="271"/>
      <c r="E32" s="271"/>
      <c r="F32" s="271"/>
      <c r="G32" s="272"/>
      <c r="H32" s="272"/>
      <c r="I32" s="272"/>
      <c r="J32" s="272"/>
      <c r="K32" s="272"/>
      <c r="L32" s="272"/>
      <c r="M32" s="272"/>
      <c r="N32" s="272"/>
      <c r="O32" s="272"/>
      <c r="P32" s="273"/>
      <c r="Q32" s="273"/>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row>
    <row r="33" spans="1:2" ht="12" x14ac:dyDescent="0.2">
      <c r="A33" s="567" t="s">
        <v>152</v>
      </c>
      <c r="B33" s="576"/>
    </row>
    <row r="34" spans="1:2" ht="12" x14ac:dyDescent="0.2">
      <c r="A34" s="577" t="s">
        <v>184</v>
      </c>
      <c r="B34" s="574"/>
    </row>
    <row r="35" spans="1:2" ht="12" x14ac:dyDescent="0.2">
      <c r="A35" s="571" t="s">
        <v>185</v>
      </c>
      <c r="B35" s="578"/>
    </row>
    <row r="36" spans="1:2" ht="12" x14ac:dyDescent="0.2">
      <c r="A36" s="571" t="s">
        <v>186</v>
      </c>
      <c r="B36" s="578"/>
    </row>
    <row r="37" spans="1:2" ht="12" x14ac:dyDescent="0.2">
      <c r="A37" s="567" t="s">
        <v>187</v>
      </c>
      <c r="B37" s="535"/>
    </row>
    <row r="38" spans="1:2" ht="12" x14ac:dyDescent="0.2">
      <c r="A38" s="567" t="s">
        <v>188</v>
      </c>
      <c r="B38" s="535"/>
    </row>
    <row r="39" spans="1:2" ht="12" x14ac:dyDescent="0.2">
      <c r="A39" s="571" t="s">
        <v>189</v>
      </c>
      <c r="B39" s="578"/>
    </row>
    <row r="40" spans="1:2" ht="12" x14ac:dyDescent="0.2">
      <c r="A40" s="571" t="s">
        <v>190</v>
      </c>
      <c r="B40" s="578"/>
    </row>
    <row r="41" spans="1:2" ht="12" x14ac:dyDescent="0.2">
      <c r="A41" s="567" t="s">
        <v>191</v>
      </c>
      <c r="B41" s="535"/>
    </row>
    <row r="42" spans="1:2" ht="12" x14ac:dyDescent="0.2">
      <c r="A42" s="567" t="s">
        <v>192</v>
      </c>
      <c r="B42" s="535"/>
    </row>
    <row r="43" spans="1:2" ht="12" x14ac:dyDescent="0.2">
      <c r="A43" s="571" t="s">
        <v>193</v>
      </c>
      <c r="B43" s="578"/>
    </row>
    <row r="44" spans="1:2" ht="12" x14ac:dyDescent="0.2">
      <c r="A44" s="571" t="s">
        <v>194</v>
      </c>
      <c r="B44" s="578"/>
    </row>
    <row r="45" spans="1:2" ht="12" x14ac:dyDescent="0.2">
      <c r="A45" s="567" t="s">
        <v>195</v>
      </c>
      <c r="B45" s="535"/>
    </row>
    <row r="46" spans="1:2" ht="12.75" thickBot="1" x14ac:dyDescent="0.25">
      <c r="A46" s="580" t="s">
        <v>196</v>
      </c>
      <c r="B46" s="581">
        <f>ROUND($B120/5*B$36*0.6,0)</f>
        <v>0</v>
      </c>
    </row>
    <row r="47" spans="1:2" ht="12" x14ac:dyDescent="0.2">
      <c r="A47" s="181" t="s">
        <v>197</v>
      </c>
      <c r="B47" s="182">
        <f>IF(SUM(B35,B37,B39,B41,B43,B45)=0,B30*2,SUM(B35,B37,B39,B41,B43,B45))</f>
        <v>0</v>
      </c>
    </row>
    <row r="48" spans="1:2" ht="12.75" thickBot="1" x14ac:dyDescent="0.25">
      <c r="A48" s="580" t="s">
        <v>198</v>
      </c>
      <c r="B48" s="582">
        <f>IF(SUM(B36,B38,B40,B42,B44,B46)=0,B31*2,SUM(B36,B38,B40,B42,B44,B46))</f>
        <v>0</v>
      </c>
    </row>
    <row r="49" spans="1:2" ht="12.75" x14ac:dyDescent="0.2">
      <c r="A49" s="484" t="s">
        <v>202</v>
      </c>
      <c r="B49" s="288"/>
    </row>
    <row r="50" spans="1:2" ht="12" x14ac:dyDescent="0.2">
      <c r="A50" s="427" t="s">
        <v>203</v>
      </c>
      <c r="B50" s="487">
        <v>0.8</v>
      </c>
    </row>
    <row r="51" spans="1:2" ht="12" x14ac:dyDescent="0.2">
      <c r="A51" s="427" t="s">
        <v>204</v>
      </c>
      <c r="B51" s="487">
        <v>0.8</v>
      </c>
    </row>
    <row r="52" spans="1:2" ht="12" x14ac:dyDescent="0.2">
      <c r="A52" s="427" t="s">
        <v>205</v>
      </c>
      <c r="B52" s="487">
        <v>0.75</v>
      </c>
    </row>
    <row r="53" spans="1:2" x14ac:dyDescent="0.2">
      <c r="A53" s="274"/>
      <c r="B53" s="274"/>
    </row>
    <row r="54" spans="1:2" x14ac:dyDescent="0.2">
      <c r="A54" s="274"/>
      <c r="B54" s="274"/>
    </row>
    <row r="55" spans="1:2" x14ac:dyDescent="0.2">
      <c r="A55" s="274"/>
      <c r="B55" s="274"/>
    </row>
    <row r="56" spans="1:2" x14ac:dyDescent="0.2">
      <c r="A56" s="274"/>
      <c r="B56" s="274"/>
    </row>
    <row r="57" spans="1:2" x14ac:dyDescent="0.2">
      <c r="A57" s="274"/>
      <c r="B57" s="274"/>
    </row>
    <row r="58" spans="1:2" x14ac:dyDescent="0.2">
      <c r="A58" s="274"/>
      <c r="B58" s="274"/>
    </row>
    <row r="59" spans="1:2" x14ac:dyDescent="0.2">
      <c r="A59" s="274"/>
      <c r="B59" s="274"/>
    </row>
    <row r="60" spans="1:2" x14ac:dyDescent="0.2">
      <c r="A60" s="274"/>
      <c r="B60" s="274"/>
    </row>
    <row r="61" spans="1:2" x14ac:dyDescent="0.2">
      <c r="A61" s="274"/>
      <c r="B61" s="274"/>
    </row>
  </sheetData>
  <mergeCells count="2">
    <mergeCell ref="A1:F1"/>
    <mergeCell ref="M1:N1"/>
  </mergeCells>
  <hyperlinks>
    <hyperlink ref="H1" location="Inventory!A1" display="Inventory" xr:uid="{00000000-0004-0000-0900-000000000000}"/>
  </hyperlinks>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31"/>
  <sheetViews>
    <sheetView showGridLines="0" zoomScaleNormal="100" zoomScaleSheetLayoutView="100" workbookViewId="0">
      <selection activeCell="AB2" sqref="AB2"/>
    </sheetView>
  </sheetViews>
  <sheetFormatPr defaultRowHeight="11.25" x14ac:dyDescent="0.2"/>
  <cols>
    <col min="1" max="1" width="45.5703125" style="263" bestFit="1" customWidth="1"/>
    <col min="2" max="2" width="7.42578125" style="263" customWidth="1"/>
    <col min="3" max="8" width="7.42578125" style="260" customWidth="1"/>
    <col min="9" max="13" width="5.7109375" style="260" customWidth="1"/>
    <col min="14" max="27" width="5.7109375" style="263" customWidth="1"/>
    <col min="28" max="16384" width="9.140625" style="263"/>
  </cols>
  <sheetData>
    <row r="1" spans="1:28" s="253" customFormat="1" ht="18.75" x14ac:dyDescent="0.3">
      <c r="A1" s="669" t="s">
        <v>304</v>
      </c>
      <c r="B1" s="669"/>
      <c r="C1" s="669"/>
      <c r="D1" s="669"/>
      <c r="E1" s="252" t="s">
        <v>63</v>
      </c>
      <c r="G1" s="254" t="s">
        <v>2</v>
      </c>
      <c r="H1" s="670">
        <v>44835</v>
      </c>
      <c r="I1" s="670"/>
      <c r="L1" s="355"/>
      <c r="M1" s="355"/>
      <c r="AA1" s="356" t="s">
        <v>64</v>
      </c>
      <c r="AB1" s="357">
        <v>5.09</v>
      </c>
    </row>
    <row r="2" spans="1:28" s="259" customFormat="1" ht="12" x14ac:dyDescent="0.2">
      <c r="A2" s="359"/>
      <c r="B2" s="265" t="s">
        <v>305</v>
      </c>
      <c r="C2" s="359"/>
      <c r="D2" s="359"/>
      <c r="E2" s="358"/>
      <c r="G2" s="264"/>
      <c r="H2" s="371"/>
      <c r="I2" s="371"/>
      <c r="L2" s="265"/>
      <c r="M2" s="265"/>
      <c r="AA2" s="264"/>
      <c r="AB2" s="359"/>
    </row>
    <row r="3" spans="1:28" s="259" customFormat="1" ht="12" x14ac:dyDescent="0.2">
      <c r="A3" s="264" t="s">
        <v>306</v>
      </c>
      <c r="B3" s="320" t="s">
        <v>298</v>
      </c>
      <c r="C3" s="265" t="s">
        <v>307</v>
      </c>
      <c r="D3" s="265"/>
      <c r="E3" s="265"/>
      <c r="F3" s="265"/>
      <c r="G3" s="265"/>
      <c r="H3" s="265"/>
      <c r="I3" s="265"/>
      <c r="J3" s="265"/>
      <c r="K3" s="265"/>
      <c r="L3" s="265"/>
      <c r="M3" s="265"/>
    </row>
    <row r="4" spans="1:28" s="259" customFormat="1" ht="12" x14ac:dyDescent="0.2">
      <c r="A4" s="264" t="s">
        <v>308</v>
      </c>
      <c r="B4" s="320">
        <v>5</v>
      </c>
      <c r="C4" s="265"/>
      <c r="D4" s="265"/>
      <c r="E4" s="265"/>
      <c r="F4" s="265"/>
      <c r="G4" s="265"/>
      <c r="H4" s="265"/>
      <c r="I4" s="265"/>
      <c r="J4" s="265"/>
      <c r="K4" s="265"/>
      <c r="L4" s="265"/>
      <c r="M4" s="265"/>
    </row>
    <row r="5" spans="1:28" s="259" customFormat="1" ht="12" x14ac:dyDescent="0.2">
      <c r="A5" s="264" t="s">
        <v>309</v>
      </c>
      <c r="B5" s="320">
        <v>5</v>
      </c>
      <c r="C5" s="265">
        <v>2</v>
      </c>
      <c r="D5" s="265"/>
      <c r="E5" s="265"/>
      <c r="F5" s="265"/>
      <c r="G5" s="265"/>
      <c r="H5" s="265"/>
      <c r="I5" s="265"/>
      <c r="J5" s="265"/>
      <c r="K5" s="265"/>
      <c r="L5" s="265"/>
      <c r="M5" s="265"/>
    </row>
    <row r="6" spans="1:28" s="259" customFormat="1" ht="12" x14ac:dyDescent="0.2">
      <c r="A6" s="264" t="s">
        <v>310</v>
      </c>
      <c r="B6" s="320">
        <v>5</v>
      </c>
      <c r="C6" s="265"/>
      <c r="D6" s="265"/>
      <c r="E6" s="265"/>
      <c r="F6" s="265"/>
      <c r="G6" s="265"/>
      <c r="H6" s="265"/>
      <c r="I6" s="265"/>
      <c r="J6" s="265"/>
      <c r="K6" s="265"/>
      <c r="L6" s="265"/>
      <c r="M6" s="265"/>
    </row>
    <row r="7" spans="1:28" s="259" customFormat="1" ht="12" x14ac:dyDescent="0.2">
      <c r="A7" s="264"/>
      <c r="B7" s="360"/>
      <c r="C7" s="265"/>
      <c r="D7" s="265"/>
      <c r="E7" s="265"/>
      <c r="F7" s="265"/>
      <c r="G7" s="265"/>
      <c r="H7" s="265"/>
      <c r="I7" s="265"/>
      <c r="J7" s="265"/>
      <c r="K7" s="265"/>
      <c r="L7" s="265"/>
      <c r="M7" s="265"/>
    </row>
    <row r="8" spans="1:28" s="259" customFormat="1" ht="12" x14ac:dyDescent="0.2">
      <c r="A8" s="264"/>
      <c r="B8" s="360"/>
      <c r="C8" s="265"/>
      <c r="D8" s="265"/>
      <c r="E8" s="265"/>
      <c r="F8" s="265"/>
      <c r="G8" s="265"/>
      <c r="H8" s="265"/>
      <c r="I8" s="265"/>
      <c r="J8" s="265"/>
      <c r="K8" s="265"/>
      <c r="L8" s="265"/>
      <c r="M8" s="265"/>
    </row>
    <row r="9" spans="1:28" s="259" customFormat="1" ht="12" x14ac:dyDescent="0.2">
      <c r="A9" s="264"/>
      <c r="B9" s="360"/>
      <c r="C9" s="265"/>
      <c r="D9" s="265"/>
      <c r="E9" s="265"/>
      <c r="F9" s="265"/>
      <c r="G9" s="265"/>
      <c r="H9" s="265"/>
      <c r="I9" s="265"/>
      <c r="J9" s="265"/>
      <c r="K9" s="265"/>
      <c r="L9" s="265"/>
      <c r="M9" s="265"/>
    </row>
    <row r="10" spans="1:28" ht="56.25" customHeight="1" x14ac:dyDescent="0.2">
      <c r="A10" s="445" t="s">
        <v>79</v>
      </c>
      <c r="B10" s="416" t="s">
        <v>311</v>
      </c>
      <c r="C10" s="416" t="s">
        <v>311</v>
      </c>
      <c r="D10" s="263"/>
    </row>
    <row r="11" spans="1:28" ht="12" x14ac:dyDescent="0.2">
      <c r="A11" s="445" t="s">
        <v>88</v>
      </c>
      <c r="B11" s="589" t="s">
        <v>312</v>
      </c>
      <c r="C11" s="589" t="s">
        <v>313</v>
      </c>
      <c r="D11" s="263"/>
    </row>
    <row r="12" spans="1:28" s="266" customFormat="1" ht="12" x14ac:dyDescent="0.2">
      <c r="A12" s="445" t="s">
        <v>117</v>
      </c>
      <c r="B12" s="417">
        <v>1</v>
      </c>
      <c r="C12" s="417">
        <v>2</v>
      </c>
      <c r="E12" s="260"/>
      <c r="F12" s="260"/>
      <c r="G12" s="260"/>
      <c r="H12" s="260"/>
      <c r="I12" s="260"/>
      <c r="J12" s="260"/>
      <c r="K12" s="260"/>
      <c r="L12" s="260"/>
      <c r="M12" s="260"/>
    </row>
    <row r="13" spans="1:28" s="266" customFormat="1" ht="12" x14ac:dyDescent="0.2">
      <c r="A13" s="445" t="s">
        <v>118</v>
      </c>
      <c r="B13" s="651" t="s">
        <v>314</v>
      </c>
      <c r="C13" s="653"/>
      <c r="E13" s="260"/>
      <c r="F13" s="260"/>
      <c r="G13" s="260"/>
      <c r="H13" s="260"/>
      <c r="I13" s="260"/>
      <c r="J13" s="260"/>
      <c r="K13" s="260"/>
      <c r="L13" s="260"/>
      <c r="M13" s="260"/>
    </row>
    <row r="14" spans="1:28" s="266" customFormat="1" ht="12.75" x14ac:dyDescent="0.2">
      <c r="A14" s="361" t="s">
        <v>151</v>
      </c>
      <c r="B14" s="417"/>
      <c r="C14" s="417"/>
      <c r="E14" s="260"/>
      <c r="F14" s="260"/>
      <c r="G14" s="260"/>
      <c r="H14" s="260"/>
      <c r="I14" s="260"/>
      <c r="J14" s="260"/>
      <c r="K14" s="260"/>
      <c r="L14" s="260"/>
      <c r="M14" s="260"/>
    </row>
    <row r="15" spans="1:28" s="266" customFormat="1" ht="12" x14ac:dyDescent="0.2">
      <c r="A15" s="445" t="s">
        <v>153</v>
      </c>
      <c r="B15" s="422">
        <v>1</v>
      </c>
      <c r="C15" s="422">
        <v>1</v>
      </c>
      <c r="E15" s="260"/>
      <c r="F15" s="260"/>
      <c r="G15" s="260"/>
      <c r="H15" s="260"/>
      <c r="I15" s="260"/>
      <c r="J15" s="260"/>
      <c r="K15" s="260"/>
      <c r="L15" s="260"/>
      <c r="M15" s="260"/>
    </row>
    <row r="16" spans="1:28" s="266" customFormat="1" ht="12" x14ac:dyDescent="0.2">
      <c r="A16" s="445" t="s">
        <v>154</v>
      </c>
      <c r="B16" s="422">
        <v>0.75</v>
      </c>
      <c r="C16" s="422">
        <v>0.75</v>
      </c>
      <c r="E16" s="260"/>
      <c r="F16" s="260"/>
      <c r="G16" s="260"/>
      <c r="H16" s="260"/>
      <c r="I16" s="260"/>
      <c r="J16" s="260"/>
      <c r="K16" s="260"/>
      <c r="L16" s="260"/>
      <c r="M16" s="260"/>
    </row>
    <row r="17" spans="1:13" s="266" customFormat="1" ht="12" x14ac:dyDescent="0.2">
      <c r="A17" s="362" t="s">
        <v>158</v>
      </c>
      <c r="B17" s="422">
        <v>0.25</v>
      </c>
      <c r="C17" s="422">
        <v>0.25</v>
      </c>
      <c r="E17" s="260"/>
      <c r="F17" s="260"/>
      <c r="G17" s="260"/>
      <c r="H17" s="260"/>
      <c r="I17" s="260"/>
      <c r="J17" s="260"/>
      <c r="K17" s="260"/>
      <c r="L17" s="260"/>
      <c r="M17" s="260"/>
    </row>
    <row r="18" spans="1:13" ht="12.75" x14ac:dyDescent="0.2">
      <c r="A18" s="361" t="s">
        <v>315</v>
      </c>
      <c r="B18" s="592" t="s">
        <v>298</v>
      </c>
      <c r="C18" s="592" t="s">
        <v>307</v>
      </c>
      <c r="D18" s="263"/>
    </row>
    <row r="19" spans="1:13" s="364" customFormat="1" ht="12" x14ac:dyDescent="0.2">
      <c r="A19" s="421" t="s">
        <v>160</v>
      </c>
      <c r="B19" s="594">
        <f>SUM(B4:B6)*B15</f>
        <v>15</v>
      </c>
      <c r="C19" s="594">
        <f>SUM(C4:C6)*C15</f>
        <v>2</v>
      </c>
      <c r="D19" s="363"/>
      <c r="E19" s="363"/>
      <c r="F19" s="363"/>
      <c r="G19" s="363"/>
      <c r="H19" s="363"/>
      <c r="I19" s="363"/>
      <c r="J19" s="363"/>
      <c r="K19" s="363"/>
      <c r="L19" s="363"/>
      <c r="M19" s="363"/>
    </row>
    <row r="20" spans="1:13" ht="12" x14ac:dyDescent="0.2">
      <c r="A20" s="421" t="s">
        <v>134</v>
      </c>
      <c r="B20" s="594">
        <f>B19*B16</f>
        <v>11.25</v>
      </c>
      <c r="C20" s="594">
        <f>C19*C16</f>
        <v>1.5</v>
      </c>
    </row>
    <row r="21" spans="1:13" ht="12" x14ac:dyDescent="0.2">
      <c r="A21" s="365" t="s">
        <v>162</v>
      </c>
      <c r="B21" s="595">
        <f>B19*B17</f>
        <v>3.75</v>
      </c>
      <c r="C21" s="595">
        <f>C19*C17</f>
        <v>0.5</v>
      </c>
    </row>
    <row r="22" spans="1:13" ht="12" x14ac:dyDescent="0.2">
      <c r="A22" s="366" t="s">
        <v>163</v>
      </c>
      <c r="B22" s="592"/>
      <c r="C22" s="592"/>
    </row>
    <row r="23" spans="1:13" ht="12" x14ac:dyDescent="0.2">
      <c r="A23" s="367" t="s">
        <v>165</v>
      </c>
      <c r="B23" s="368" t="s">
        <v>302</v>
      </c>
      <c r="C23" s="368" t="s">
        <v>302</v>
      </c>
    </row>
    <row r="24" spans="1:13" ht="12" x14ac:dyDescent="0.2">
      <c r="A24" s="367" t="s">
        <v>167</v>
      </c>
      <c r="B24" s="592" t="s">
        <v>302</v>
      </c>
      <c r="C24" s="592" t="s">
        <v>302</v>
      </c>
    </row>
    <row r="25" spans="1:13" ht="12" x14ac:dyDescent="0.2">
      <c r="A25" s="367" t="s">
        <v>168</v>
      </c>
      <c r="B25" s="592" t="s">
        <v>302</v>
      </c>
      <c r="C25" s="592" t="s">
        <v>302</v>
      </c>
    </row>
    <row r="26" spans="1:13" ht="12" x14ac:dyDescent="0.2">
      <c r="A26" s="367" t="s">
        <v>170</v>
      </c>
      <c r="B26" s="592" t="s">
        <v>302</v>
      </c>
      <c r="C26" s="592" t="s">
        <v>302</v>
      </c>
    </row>
    <row r="27" spans="1:13" ht="12" x14ac:dyDescent="0.2">
      <c r="A27" s="367" t="s">
        <v>171</v>
      </c>
      <c r="B27" s="592" t="s">
        <v>302</v>
      </c>
      <c r="C27" s="592" t="s">
        <v>302</v>
      </c>
    </row>
    <row r="28" spans="1:13" ht="12" x14ac:dyDescent="0.2">
      <c r="A28" s="367" t="s">
        <v>173</v>
      </c>
      <c r="B28" s="592" t="s">
        <v>302</v>
      </c>
      <c r="C28" s="592" t="s">
        <v>302</v>
      </c>
    </row>
    <row r="29" spans="1:13" ht="12" x14ac:dyDescent="0.2">
      <c r="A29" s="367" t="s">
        <v>174</v>
      </c>
      <c r="B29" s="592" t="s">
        <v>302</v>
      </c>
      <c r="C29" s="592" t="s">
        <v>302</v>
      </c>
    </row>
    <row r="30" spans="1:13" ht="12" x14ac:dyDescent="0.2">
      <c r="A30" s="370" t="s">
        <v>176</v>
      </c>
      <c r="B30" s="592" t="s">
        <v>302</v>
      </c>
      <c r="C30" s="592" t="s">
        <v>302</v>
      </c>
    </row>
    <row r="31" spans="1:13" ht="12" x14ac:dyDescent="0.2">
      <c r="A31" s="596" t="s">
        <v>177</v>
      </c>
      <c r="B31" s="592" t="s">
        <v>302</v>
      </c>
      <c r="C31" s="592" t="s">
        <v>302</v>
      </c>
    </row>
  </sheetData>
  <mergeCells count="3">
    <mergeCell ref="A1:D1"/>
    <mergeCell ref="H1:I1"/>
    <mergeCell ref="B13:C13"/>
  </mergeCells>
  <phoneticPr fontId="6" type="noConversion"/>
  <hyperlinks>
    <hyperlink ref="E1" location="Inventory!A1" display="Inventory" xr:uid="{00000000-0004-0000-0A00-000000000000}"/>
  </hyperlinks>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3"/>
  <sheetViews>
    <sheetView showGridLines="0" zoomScale="80" zoomScaleNormal="80" workbookViewId="0">
      <selection activeCell="C1" sqref="C1"/>
    </sheetView>
  </sheetViews>
  <sheetFormatPr defaultColWidth="8.85546875" defaultRowHeight="11.25" x14ac:dyDescent="0.2"/>
  <cols>
    <col min="1" max="1" width="6.42578125" style="199" bestFit="1" customWidth="1"/>
    <col min="2" max="2" width="13.140625" style="199" bestFit="1" customWidth="1"/>
    <col min="3" max="3" width="74.28515625" style="199" bestFit="1" customWidth="1"/>
    <col min="4" max="5" width="5.7109375" style="199" customWidth="1"/>
    <col min="6" max="9" width="5.7109375" style="200" customWidth="1"/>
    <col min="10" max="30" width="5.7109375" style="199" customWidth="1"/>
    <col min="31" max="16384" width="8.85546875" style="199"/>
  </cols>
  <sheetData>
    <row r="1" spans="1:30" ht="27" customHeight="1" x14ac:dyDescent="0.2">
      <c r="A1" s="207" t="s">
        <v>2</v>
      </c>
      <c r="B1" s="387">
        <v>43435</v>
      </c>
      <c r="C1" s="213" t="s">
        <v>63</v>
      </c>
      <c r="G1" s="205"/>
      <c r="H1" s="205"/>
      <c r="I1" s="206"/>
      <c r="J1" s="205"/>
      <c r="K1" s="204"/>
      <c r="L1" s="203"/>
      <c r="M1" s="203"/>
      <c r="N1" s="200"/>
      <c r="O1" s="200"/>
      <c r="P1" s="200"/>
      <c r="Q1" s="200"/>
      <c r="R1" s="200"/>
      <c r="S1" s="200"/>
      <c r="T1" s="200"/>
      <c r="U1" s="200"/>
      <c r="V1" s="200"/>
      <c r="W1" s="200"/>
      <c r="X1" s="200"/>
      <c r="Y1" s="200"/>
      <c r="Z1" s="200"/>
      <c r="AA1" s="200"/>
      <c r="AB1" s="200"/>
      <c r="AC1" s="200"/>
    </row>
    <row r="2" spans="1:30" s="201" customFormat="1" ht="285.75" thickBot="1" x14ac:dyDescent="0.25">
      <c r="B2" s="202"/>
      <c r="C2" s="208" t="s">
        <v>316</v>
      </c>
      <c r="D2" s="375" t="s">
        <v>251</v>
      </c>
      <c r="E2" s="376" t="s">
        <v>317</v>
      </c>
      <c r="F2" s="375" t="s">
        <v>165</v>
      </c>
      <c r="G2" s="376" t="s">
        <v>167</v>
      </c>
      <c r="H2" s="375" t="s">
        <v>168</v>
      </c>
      <c r="I2" s="376" t="s">
        <v>170</v>
      </c>
      <c r="J2" s="375" t="s">
        <v>171</v>
      </c>
      <c r="K2" s="376" t="s">
        <v>173</v>
      </c>
      <c r="L2" s="375" t="s">
        <v>174</v>
      </c>
      <c r="M2" s="376" t="s">
        <v>176</v>
      </c>
      <c r="N2" s="375" t="s">
        <v>177</v>
      </c>
      <c r="O2" s="376" t="s">
        <v>180</v>
      </c>
      <c r="P2" s="375" t="s">
        <v>148</v>
      </c>
      <c r="Q2" s="376" t="s">
        <v>182</v>
      </c>
      <c r="R2" s="375" t="s">
        <v>152</v>
      </c>
      <c r="S2" s="376" t="s">
        <v>253</v>
      </c>
      <c r="T2" s="375" t="s">
        <v>186</v>
      </c>
      <c r="U2" s="376" t="s">
        <v>187</v>
      </c>
      <c r="V2" s="375" t="s">
        <v>188</v>
      </c>
      <c r="W2" s="376" t="s">
        <v>189</v>
      </c>
      <c r="X2" s="375" t="s">
        <v>190</v>
      </c>
      <c r="Y2" s="376" t="s">
        <v>191</v>
      </c>
      <c r="Z2" s="375" t="s">
        <v>192</v>
      </c>
      <c r="AA2" s="376" t="s">
        <v>193</v>
      </c>
      <c r="AB2" s="375" t="s">
        <v>194</v>
      </c>
      <c r="AC2" s="376" t="s">
        <v>195</v>
      </c>
      <c r="AD2" s="375" t="s">
        <v>196</v>
      </c>
    </row>
    <row r="3" spans="1:30" s="200" customFormat="1" ht="17.25" customHeight="1" x14ac:dyDescent="0.2">
      <c r="A3" s="671" t="s">
        <v>318</v>
      </c>
      <c r="B3" s="377" t="s">
        <v>319</v>
      </c>
      <c r="C3" s="378" t="s">
        <v>320</v>
      </c>
      <c r="D3" s="379" t="s">
        <v>242</v>
      </c>
      <c r="E3" s="379" t="s">
        <v>242</v>
      </c>
      <c r="F3" s="379" t="s">
        <v>242</v>
      </c>
      <c r="G3" s="379" t="s">
        <v>321</v>
      </c>
      <c r="H3" s="379" t="s">
        <v>321</v>
      </c>
      <c r="I3" s="379" t="s">
        <v>321</v>
      </c>
      <c r="J3" s="379" t="s">
        <v>321</v>
      </c>
      <c r="K3" s="379" t="s">
        <v>242</v>
      </c>
      <c r="L3" s="379" t="s">
        <v>321</v>
      </c>
      <c r="M3" s="379" t="s">
        <v>242</v>
      </c>
      <c r="N3" s="379" t="s">
        <v>242</v>
      </c>
      <c r="O3" s="379"/>
      <c r="P3" s="379"/>
      <c r="Q3" s="379"/>
      <c r="R3" s="379"/>
      <c r="S3" s="379"/>
      <c r="T3" s="379"/>
      <c r="U3" s="379"/>
      <c r="V3" s="379"/>
      <c r="W3" s="379"/>
      <c r="X3" s="379"/>
      <c r="Y3" s="379"/>
      <c r="Z3" s="379"/>
      <c r="AA3" s="379"/>
      <c r="AB3" s="379"/>
      <c r="AC3" s="379"/>
      <c r="AD3" s="380"/>
    </row>
    <row r="4" spans="1:30" s="200" customFormat="1" ht="17.25" customHeight="1" x14ac:dyDescent="0.2">
      <c r="A4" s="672"/>
      <c r="B4" s="381" t="s">
        <v>322</v>
      </c>
      <c r="C4" s="374" t="s">
        <v>323</v>
      </c>
      <c r="D4" s="373" t="s">
        <v>242</v>
      </c>
      <c r="E4" s="373" t="s">
        <v>242</v>
      </c>
      <c r="F4" s="373" t="s">
        <v>321</v>
      </c>
      <c r="G4" s="373" t="s">
        <v>321</v>
      </c>
      <c r="H4" s="373" t="s">
        <v>321</v>
      </c>
      <c r="I4" s="373" t="s">
        <v>242</v>
      </c>
      <c r="J4" s="373" t="s">
        <v>242</v>
      </c>
      <c r="K4" s="373" t="s">
        <v>321</v>
      </c>
      <c r="L4" s="373" t="s">
        <v>242</v>
      </c>
      <c r="M4" s="373" t="s">
        <v>321</v>
      </c>
      <c r="N4" s="373" t="s">
        <v>242</v>
      </c>
      <c r="O4" s="373"/>
      <c r="P4" s="373"/>
      <c r="Q4" s="373"/>
      <c r="R4" s="373"/>
      <c r="S4" s="373"/>
      <c r="T4" s="373"/>
      <c r="U4" s="373"/>
      <c r="V4" s="373"/>
      <c r="W4" s="373"/>
      <c r="X4" s="373"/>
      <c r="Y4" s="373"/>
      <c r="Z4" s="373"/>
      <c r="AA4" s="373"/>
      <c r="AB4" s="373"/>
      <c r="AC4" s="373"/>
      <c r="AD4" s="382"/>
    </row>
    <row r="5" spans="1:30" s="200" customFormat="1" ht="17.25" customHeight="1" x14ac:dyDescent="0.2">
      <c r="A5" s="672"/>
      <c r="B5" s="381" t="s">
        <v>324</v>
      </c>
      <c r="C5" s="374" t="s">
        <v>325</v>
      </c>
      <c r="D5" s="373" t="s">
        <v>242</v>
      </c>
      <c r="E5" s="373" t="s">
        <v>242</v>
      </c>
      <c r="F5" s="373" t="s">
        <v>321</v>
      </c>
      <c r="G5" s="373" t="s">
        <v>321</v>
      </c>
      <c r="H5" s="373" t="s">
        <v>321</v>
      </c>
      <c r="I5" s="373" t="s">
        <v>242</v>
      </c>
      <c r="J5" s="373" t="s">
        <v>242</v>
      </c>
      <c r="K5" s="373" t="s">
        <v>321</v>
      </c>
      <c r="L5" s="373" t="s">
        <v>242</v>
      </c>
      <c r="M5" s="373" t="s">
        <v>321</v>
      </c>
      <c r="N5" s="373" t="s">
        <v>242</v>
      </c>
      <c r="O5" s="373" t="s">
        <v>242</v>
      </c>
      <c r="P5" s="373" t="s">
        <v>242</v>
      </c>
      <c r="Q5" s="373" t="s">
        <v>242</v>
      </c>
      <c r="R5" s="373" t="s">
        <v>242</v>
      </c>
      <c r="S5" s="373" t="s">
        <v>242</v>
      </c>
      <c r="T5" s="373" t="s">
        <v>242</v>
      </c>
      <c r="U5" s="373" t="s">
        <v>242</v>
      </c>
      <c r="V5" s="373" t="s">
        <v>242</v>
      </c>
      <c r="W5" s="373" t="s">
        <v>242</v>
      </c>
      <c r="X5" s="373" t="s">
        <v>242</v>
      </c>
      <c r="Y5" s="373" t="s">
        <v>242</v>
      </c>
      <c r="Z5" s="373" t="s">
        <v>242</v>
      </c>
      <c r="AA5" s="373" t="s">
        <v>242</v>
      </c>
      <c r="AB5" s="373" t="s">
        <v>242</v>
      </c>
      <c r="AC5" s="373" t="s">
        <v>242</v>
      </c>
      <c r="AD5" s="382" t="s">
        <v>242</v>
      </c>
    </row>
    <row r="6" spans="1:30" s="200" customFormat="1" ht="17.25" customHeight="1" x14ac:dyDescent="0.2">
      <c r="A6" s="672"/>
      <c r="B6" s="381" t="s">
        <v>326</v>
      </c>
      <c r="C6" s="374" t="s">
        <v>327</v>
      </c>
      <c r="D6" s="373" t="s">
        <v>242</v>
      </c>
      <c r="E6" s="373" t="s">
        <v>242</v>
      </c>
      <c r="F6" s="373" t="s">
        <v>321</v>
      </c>
      <c r="G6" s="373" t="s">
        <v>242</v>
      </c>
      <c r="H6" s="373" t="s">
        <v>321</v>
      </c>
      <c r="I6" s="373" t="s">
        <v>321</v>
      </c>
      <c r="J6" s="373" t="s">
        <v>242</v>
      </c>
      <c r="K6" s="373" t="s">
        <v>321</v>
      </c>
      <c r="L6" s="373" t="s">
        <v>242</v>
      </c>
      <c r="M6" s="373" t="s">
        <v>321</v>
      </c>
      <c r="N6" s="373" t="s">
        <v>242</v>
      </c>
      <c r="O6" s="373" t="s">
        <v>242</v>
      </c>
      <c r="P6" s="373" t="s">
        <v>242</v>
      </c>
      <c r="Q6" s="373" t="s">
        <v>242</v>
      </c>
      <c r="R6" s="373" t="s">
        <v>242</v>
      </c>
      <c r="S6" s="373" t="s">
        <v>242</v>
      </c>
      <c r="T6" s="373" t="s">
        <v>242</v>
      </c>
      <c r="U6" s="373" t="s">
        <v>242</v>
      </c>
      <c r="V6" s="373" t="s">
        <v>242</v>
      </c>
      <c r="W6" s="373" t="s">
        <v>242</v>
      </c>
      <c r="X6" s="373" t="s">
        <v>242</v>
      </c>
      <c r="Y6" s="373" t="s">
        <v>242</v>
      </c>
      <c r="Z6" s="373" t="s">
        <v>242</v>
      </c>
      <c r="AA6" s="373" t="s">
        <v>242</v>
      </c>
      <c r="AB6" s="373" t="s">
        <v>242</v>
      </c>
      <c r="AC6" s="373" t="s">
        <v>242</v>
      </c>
      <c r="AD6" s="382" t="s">
        <v>242</v>
      </c>
    </row>
    <row r="7" spans="1:30" s="200" customFormat="1" ht="17.25" customHeight="1" x14ac:dyDescent="0.2">
      <c r="A7" s="672"/>
      <c r="B7" s="381" t="s">
        <v>328</v>
      </c>
      <c r="C7" s="374" t="s">
        <v>329</v>
      </c>
      <c r="D7" s="373" t="s">
        <v>242</v>
      </c>
      <c r="E7" s="373" t="s">
        <v>242</v>
      </c>
      <c r="F7" s="373" t="s">
        <v>321</v>
      </c>
      <c r="G7" s="373" t="s">
        <v>242</v>
      </c>
      <c r="H7" s="373" t="s">
        <v>321</v>
      </c>
      <c r="I7" s="373" t="s">
        <v>242</v>
      </c>
      <c r="J7" s="373" t="s">
        <v>242</v>
      </c>
      <c r="K7" s="373" t="s">
        <v>321</v>
      </c>
      <c r="L7" s="373" t="s">
        <v>242</v>
      </c>
      <c r="M7" s="373" t="s">
        <v>321</v>
      </c>
      <c r="N7" s="373" t="s">
        <v>242</v>
      </c>
      <c r="O7" s="373" t="s">
        <v>242</v>
      </c>
      <c r="P7" s="373" t="s">
        <v>242</v>
      </c>
      <c r="Q7" s="373" t="s">
        <v>242</v>
      </c>
      <c r="R7" s="373" t="s">
        <v>242</v>
      </c>
      <c r="S7" s="373" t="s">
        <v>242</v>
      </c>
      <c r="T7" s="373" t="s">
        <v>242</v>
      </c>
      <c r="U7" s="373" t="s">
        <v>242</v>
      </c>
      <c r="V7" s="373" t="s">
        <v>242</v>
      </c>
      <c r="W7" s="373" t="s">
        <v>242</v>
      </c>
      <c r="X7" s="373" t="s">
        <v>242</v>
      </c>
      <c r="Y7" s="373" t="s">
        <v>242</v>
      </c>
      <c r="Z7" s="373" t="s">
        <v>242</v>
      </c>
      <c r="AA7" s="373" t="s">
        <v>242</v>
      </c>
      <c r="AB7" s="373" t="s">
        <v>242</v>
      </c>
      <c r="AC7" s="373" t="s">
        <v>242</v>
      </c>
      <c r="AD7" s="382" t="s">
        <v>242</v>
      </c>
    </row>
    <row r="8" spans="1:30" s="200" customFormat="1" ht="17.25" customHeight="1" x14ac:dyDescent="0.2">
      <c r="A8" s="672"/>
      <c r="B8" s="381" t="s">
        <v>330</v>
      </c>
      <c r="C8" s="374" t="s">
        <v>331</v>
      </c>
      <c r="D8" s="373" t="s">
        <v>242</v>
      </c>
      <c r="E8" s="373" t="s">
        <v>242</v>
      </c>
      <c r="F8" s="373" t="s">
        <v>321</v>
      </c>
      <c r="G8" s="373" t="s">
        <v>242</v>
      </c>
      <c r="H8" s="373" t="s">
        <v>242</v>
      </c>
      <c r="I8" s="373" t="s">
        <v>242</v>
      </c>
      <c r="J8" s="373" t="s">
        <v>242</v>
      </c>
      <c r="K8" s="373" t="s">
        <v>321</v>
      </c>
      <c r="L8" s="373" t="s">
        <v>242</v>
      </c>
      <c r="M8" s="373" t="s">
        <v>321</v>
      </c>
      <c r="N8" s="373" t="s">
        <v>242</v>
      </c>
      <c r="O8" s="373" t="s">
        <v>242</v>
      </c>
      <c r="P8" s="373" t="s">
        <v>242</v>
      </c>
      <c r="Q8" s="373" t="s">
        <v>242</v>
      </c>
      <c r="R8" s="373" t="s">
        <v>242</v>
      </c>
      <c r="S8" s="373" t="s">
        <v>242</v>
      </c>
      <c r="T8" s="373" t="s">
        <v>242</v>
      </c>
      <c r="U8" s="373" t="s">
        <v>242</v>
      </c>
      <c r="V8" s="373" t="s">
        <v>242</v>
      </c>
      <c r="W8" s="373" t="s">
        <v>242</v>
      </c>
      <c r="X8" s="373" t="s">
        <v>242</v>
      </c>
      <c r="Y8" s="373" t="s">
        <v>242</v>
      </c>
      <c r="Z8" s="373" t="s">
        <v>242</v>
      </c>
      <c r="AA8" s="373" t="s">
        <v>242</v>
      </c>
      <c r="AB8" s="373" t="s">
        <v>242</v>
      </c>
      <c r="AC8" s="373" t="s">
        <v>242</v>
      </c>
      <c r="AD8" s="382" t="s">
        <v>242</v>
      </c>
    </row>
    <row r="9" spans="1:30" s="200" customFormat="1" ht="17.25" customHeight="1" x14ac:dyDescent="0.2">
      <c r="A9" s="672"/>
      <c r="B9" s="381" t="s">
        <v>332</v>
      </c>
      <c r="C9" s="374" t="s">
        <v>333</v>
      </c>
      <c r="D9" s="373" t="s">
        <v>242</v>
      </c>
      <c r="E9" s="373" t="s">
        <v>242</v>
      </c>
      <c r="F9" s="373" t="s">
        <v>321</v>
      </c>
      <c r="G9" s="373" t="s">
        <v>321</v>
      </c>
      <c r="H9" s="373" t="s">
        <v>321</v>
      </c>
      <c r="I9" s="373" t="s">
        <v>321</v>
      </c>
      <c r="J9" s="373" t="s">
        <v>242</v>
      </c>
      <c r="K9" s="373" t="s">
        <v>321</v>
      </c>
      <c r="L9" s="373" t="s">
        <v>242</v>
      </c>
      <c r="M9" s="373" t="s">
        <v>321</v>
      </c>
      <c r="N9" s="373" t="s">
        <v>242</v>
      </c>
      <c r="O9" s="373" t="s">
        <v>242</v>
      </c>
      <c r="P9" s="373" t="s">
        <v>242</v>
      </c>
      <c r="Q9" s="373" t="s">
        <v>242</v>
      </c>
      <c r="R9" s="373" t="s">
        <v>242</v>
      </c>
      <c r="S9" s="373" t="s">
        <v>242</v>
      </c>
      <c r="T9" s="373" t="s">
        <v>242</v>
      </c>
      <c r="U9" s="373" t="s">
        <v>242</v>
      </c>
      <c r="V9" s="373" t="s">
        <v>242</v>
      </c>
      <c r="W9" s="373" t="s">
        <v>242</v>
      </c>
      <c r="X9" s="373" t="s">
        <v>242</v>
      </c>
      <c r="Y9" s="373" t="s">
        <v>242</v>
      </c>
      <c r="Z9" s="373" t="s">
        <v>242</v>
      </c>
      <c r="AA9" s="373" t="s">
        <v>242</v>
      </c>
      <c r="AB9" s="373" t="s">
        <v>242</v>
      </c>
      <c r="AC9" s="373" t="s">
        <v>242</v>
      </c>
      <c r="AD9" s="382" t="s">
        <v>242</v>
      </c>
    </row>
    <row r="10" spans="1:30" s="200" customFormat="1" ht="17.25" customHeight="1" x14ac:dyDescent="0.2">
      <c r="A10" s="672"/>
      <c r="B10" s="381" t="s">
        <v>334</v>
      </c>
      <c r="C10" s="374" t="s">
        <v>335</v>
      </c>
      <c r="D10" s="373" t="s">
        <v>242</v>
      </c>
      <c r="E10" s="373" t="s">
        <v>242</v>
      </c>
      <c r="F10" s="373" t="s">
        <v>321</v>
      </c>
      <c r="G10" s="373" t="s">
        <v>321</v>
      </c>
      <c r="H10" s="373" t="s">
        <v>242</v>
      </c>
      <c r="I10" s="373" t="s">
        <v>321</v>
      </c>
      <c r="J10" s="373" t="s">
        <v>242</v>
      </c>
      <c r="K10" s="373" t="s">
        <v>321</v>
      </c>
      <c r="L10" s="373" t="s">
        <v>242</v>
      </c>
      <c r="M10" s="373" t="s">
        <v>321</v>
      </c>
      <c r="N10" s="373" t="s">
        <v>242</v>
      </c>
      <c r="O10" s="373" t="s">
        <v>242</v>
      </c>
      <c r="P10" s="373" t="s">
        <v>242</v>
      </c>
      <c r="Q10" s="373" t="s">
        <v>242</v>
      </c>
      <c r="R10" s="373" t="s">
        <v>242</v>
      </c>
      <c r="S10" s="373" t="s">
        <v>242</v>
      </c>
      <c r="T10" s="373" t="s">
        <v>242</v>
      </c>
      <c r="U10" s="373" t="s">
        <v>242</v>
      </c>
      <c r="V10" s="373" t="s">
        <v>242</v>
      </c>
      <c r="W10" s="373" t="s">
        <v>242</v>
      </c>
      <c r="X10" s="373" t="s">
        <v>242</v>
      </c>
      <c r="Y10" s="373" t="s">
        <v>242</v>
      </c>
      <c r="Z10" s="373" t="s">
        <v>242</v>
      </c>
      <c r="AA10" s="373" t="s">
        <v>242</v>
      </c>
      <c r="AB10" s="373" t="s">
        <v>242</v>
      </c>
      <c r="AC10" s="373" t="s">
        <v>242</v>
      </c>
      <c r="AD10" s="382" t="s">
        <v>242</v>
      </c>
    </row>
    <row r="11" spans="1:30" s="200" customFormat="1" ht="17.25" customHeight="1" x14ac:dyDescent="0.2">
      <c r="A11" s="672"/>
      <c r="B11" s="381" t="s">
        <v>336</v>
      </c>
      <c r="C11" s="374" t="s">
        <v>337</v>
      </c>
      <c r="D11" s="373" t="s">
        <v>242</v>
      </c>
      <c r="E11" s="373" t="s">
        <v>242</v>
      </c>
      <c r="F11" s="373" t="s">
        <v>321</v>
      </c>
      <c r="G11" s="373" t="s">
        <v>321</v>
      </c>
      <c r="H11" s="373" t="s">
        <v>321</v>
      </c>
      <c r="I11" s="373" t="s">
        <v>321</v>
      </c>
      <c r="J11" s="373" t="s">
        <v>242</v>
      </c>
      <c r="K11" s="373" t="s">
        <v>321</v>
      </c>
      <c r="L11" s="373" t="s">
        <v>242</v>
      </c>
      <c r="M11" s="373" t="s">
        <v>321</v>
      </c>
      <c r="N11" s="373" t="s">
        <v>242</v>
      </c>
      <c r="O11" s="373" t="s">
        <v>242</v>
      </c>
      <c r="P11" s="373" t="s">
        <v>242</v>
      </c>
      <c r="Q11" s="373" t="s">
        <v>242</v>
      </c>
      <c r="R11" s="373" t="s">
        <v>242</v>
      </c>
      <c r="S11" s="373" t="s">
        <v>242</v>
      </c>
      <c r="T11" s="373" t="s">
        <v>242</v>
      </c>
      <c r="U11" s="373" t="s">
        <v>242</v>
      </c>
      <c r="V11" s="373" t="s">
        <v>242</v>
      </c>
      <c r="W11" s="373" t="s">
        <v>242</v>
      </c>
      <c r="X11" s="373" t="s">
        <v>242</v>
      </c>
      <c r="Y11" s="373" t="s">
        <v>242</v>
      </c>
      <c r="Z11" s="373" t="s">
        <v>242</v>
      </c>
      <c r="AA11" s="373" t="s">
        <v>242</v>
      </c>
      <c r="AB11" s="373" t="s">
        <v>242</v>
      </c>
      <c r="AC11" s="373" t="s">
        <v>242</v>
      </c>
      <c r="AD11" s="382" t="s">
        <v>242</v>
      </c>
    </row>
    <row r="12" spans="1:30" s="200" customFormat="1" ht="17.25" customHeight="1" x14ac:dyDescent="0.2">
      <c r="A12" s="672"/>
      <c r="B12" s="381" t="s">
        <v>338</v>
      </c>
      <c r="C12" s="374" t="s">
        <v>339</v>
      </c>
      <c r="D12" s="373" t="s">
        <v>242</v>
      </c>
      <c r="E12" s="373" t="s">
        <v>242</v>
      </c>
      <c r="F12" s="373" t="s">
        <v>321</v>
      </c>
      <c r="G12" s="373" t="s">
        <v>321</v>
      </c>
      <c r="H12" s="373" t="s">
        <v>321</v>
      </c>
      <c r="I12" s="373" t="s">
        <v>321</v>
      </c>
      <c r="J12" s="373" t="s">
        <v>242</v>
      </c>
      <c r="K12" s="373" t="s">
        <v>321</v>
      </c>
      <c r="L12" s="373" t="s">
        <v>242</v>
      </c>
      <c r="M12" s="373" t="s">
        <v>321</v>
      </c>
      <c r="N12" s="373" t="s">
        <v>242</v>
      </c>
      <c r="O12" s="373"/>
      <c r="P12" s="373"/>
      <c r="Q12" s="373"/>
      <c r="R12" s="373"/>
      <c r="S12" s="373"/>
      <c r="T12" s="373"/>
      <c r="U12" s="373"/>
      <c r="V12" s="373"/>
      <c r="W12" s="373"/>
      <c r="X12" s="373"/>
      <c r="Y12" s="373"/>
      <c r="Z12" s="373"/>
      <c r="AA12" s="373"/>
      <c r="AB12" s="373"/>
      <c r="AC12" s="373"/>
      <c r="AD12" s="382"/>
    </row>
    <row r="13" spans="1:30" s="200" customFormat="1" ht="17.25" customHeight="1" thickBot="1" x14ac:dyDescent="0.25">
      <c r="A13" s="673"/>
      <c r="B13" s="383" t="s">
        <v>340</v>
      </c>
      <c r="C13" s="384" t="s">
        <v>341</v>
      </c>
      <c r="D13" s="385" t="s">
        <v>242</v>
      </c>
      <c r="E13" s="385" t="s">
        <v>242</v>
      </c>
      <c r="F13" s="385" t="s">
        <v>321</v>
      </c>
      <c r="G13" s="385"/>
      <c r="H13" s="385" t="s">
        <v>321</v>
      </c>
      <c r="I13" s="385"/>
      <c r="J13" s="385" t="s">
        <v>242</v>
      </c>
      <c r="K13" s="385" t="s">
        <v>321</v>
      </c>
      <c r="L13" s="385" t="s">
        <v>242</v>
      </c>
      <c r="M13" s="385" t="s">
        <v>321</v>
      </c>
      <c r="N13" s="385" t="s">
        <v>242</v>
      </c>
      <c r="O13" s="385" t="s">
        <v>242</v>
      </c>
      <c r="P13" s="385" t="s">
        <v>242</v>
      </c>
      <c r="Q13" s="385" t="s">
        <v>242</v>
      </c>
      <c r="R13" s="385" t="s">
        <v>242</v>
      </c>
      <c r="S13" s="385" t="s">
        <v>242</v>
      </c>
      <c r="T13" s="385" t="s">
        <v>242</v>
      </c>
      <c r="U13" s="385" t="s">
        <v>242</v>
      </c>
      <c r="V13" s="385" t="s">
        <v>242</v>
      </c>
      <c r="W13" s="385" t="s">
        <v>242</v>
      </c>
      <c r="X13" s="385" t="s">
        <v>242</v>
      </c>
      <c r="Y13" s="385" t="s">
        <v>242</v>
      </c>
      <c r="Z13" s="385" t="s">
        <v>242</v>
      </c>
      <c r="AA13" s="385" t="s">
        <v>242</v>
      </c>
      <c r="AB13" s="385" t="s">
        <v>242</v>
      </c>
      <c r="AC13" s="385" t="s">
        <v>242</v>
      </c>
      <c r="AD13" s="386" t="s">
        <v>242</v>
      </c>
    </row>
  </sheetData>
  <mergeCells count="1">
    <mergeCell ref="A3:A13"/>
  </mergeCells>
  <conditionalFormatting sqref="D3:AD13">
    <cfRule type="cellIs" dxfId="4" priority="1" operator="equal">
      <formula>""</formula>
    </cfRule>
  </conditionalFormatting>
  <hyperlinks>
    <hyperlink ref="C1" location="Inventory!A1" display="Inventory" xr:uid="{00000000-0004-0000-0B00-000000000000}"/>
  </hyperlinks>
  <pageMargins left="0.75" right="0.75" top="1" bottom="1" header="0.5" footer="0.5"/>
  <pageSetup paperSize="17" scale="4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13"/>
  <sheetViews>
    <sheetView showGridLines="0" zoomScale="80" zoomScaleNormal="80" workbookViewId="0">
      <selection sqref="A1:XFD1048576"/>
    </sheetView>
  </sheetViews>
  <sheetFormatPr defaultColWidth="8.85546875" defaultRowHeight="11.25" x14ac:dyDescent="0.2"/>
  <cols>
    <col min="1" max="1" width="6.42578125" style="199" bestFit="1" customWidth="1"/>
    <col min="2" max="2" width="13.140625" style="199" bestFit="1" customWidth="1"/>
    <col min="3" max="3" width="74.28515625" style="199" bestFit="1" customWidth="1"/>
    <col min="4" max="5" width="5.7109375" style="199" customWidth="1"/>
    <col min="6" max="9" width="5.7109375" style="200" customWidth="1"/>
    <col min="10" max="30" width="5.7109375" style="199" customWidth="1"/>
    <col min="31" max="16384" width="8.85546875" style="199"/>
  </cols>
  <sheetData>
    <row r="1" spans="1:30" ht="27" customHeight="1" x14ac:dyDescent="0.2">
      <c r="A1" s="207" t="s">
        <v>2</v>
      </c>
      <c r="B1" s="387">
        <v>43435</v>
      </c>
      <c r="C1" s="213" t="s">
        <v>63</v>
      </c>
      <c r="G1" s="205"/>
      <c r="H1" s="205"/>
      <c r="I1" s="206"/>
      <c r="J1" s="205"/>
      <c r="K1" s="204"/>
      <c r="L1" s="203"/>
      <c r="M1" s="203"/>
      <c r="N1" s="200"/>
      <c r="O1" s="200"/>
      <c r="P1" s="200"/>
      <c r="Q1" s="200"/>
      <c r="R1" s="200"/>
      <c r="S1" s="200"/>
      <c r="T1" s="200"/>
      <c r="U1" s="200"/>
      <c r="V1" s="200"/>
      <c r="W1" s="200"/>
      <c r="X1" s="200"/>
      <c r="Y1" s="200"/>
      <c r="Z1" s="200"/>
      <c r="AA1" s="200"/>
      <c r="AB1" s="200"/>
      <c r="AC1" s="200"/>
    </row>
    <row r="2" spans="1:30" s="201" customFormat="1" ht="285.75" thickBot="1" x14ac:dyDescent="0.25">
      <c r="B2" s="202"/>
      <c r="C2" s="208" t="s">
        <v>342</v>
      </c>
      <c r="D2" s="375" t="s">
        <v>251</v>
      </c>
      <c r="E2" s="376" t="s">
        <v>317</v>
      </c>
      <c r="F2" s="375" t="s">
        <v>165</v>
      </c>
      <c r="G2" s="376" t="s">
        <v>167</v>
      </c>
      <c r="H2" s="375" t="s">
        <v>168</v>
      </c>
      <c r="I2" s="376" t="s">
        <v>170</v>
      </c>
      <c r="J2" s="375" t="s">
        <v>171</v>
      </c>
      <c r="K2" s="376" t="s">
        <v>173</v>
      </c>
      <c r="L2" s="375" t="s">
        <v>174</v>
      </c>
      <c r="M2" s="376" t="s">
        <v>176</v>
      </c>
      <c r="N2" s="375" t="s">
        <v>177</v>
      </c>
      <c r="O2" s="376" t="s">
        <v>180</v>
      </c>
      <c r="P2" s="375" t="s">
        <v>148</v>
      </c>
      <c r="Q2" s="376" t="s">
        <v>182</v>
      </c>
      <c r="R2" s="375" t="s">
        <v>152</v>
      </c>
      <c r="S2" s="376" t="s">
        <v>253</v>
      </c>
      <c r="T2" s="375" t="s">
        <v>186</v>
      </c>
      <c r="U2" s="376" t="s">
        <v>187</v>
      </c>
      <c r="V2" s="375" t="s">
        <v>188</v>
      </c>
      <c r="W2" s="376" t="s">
        <v>189</v>
      </c>
      <c r="X2" s="375" t="s">
        <v>190</v>
      </c>
      <c r="Y2" s="376" t="s">
        <v>191</v>
      </c>
      <c r="Z2" s="375" t="s">
        <v>192</v>
      </c>
      <c r="AA2" s="376" t="s">
        <v>193</v>
      </c>
      <c r="AB2" s="375" t="s">
        <v>194</v>
      </c>
      <c r="AC2" s="376" t="s">
        <v>195</v>
      </c>
      <c r="AD2" s="375" t="s">
        <v>196</v>
      </c>
    </row>
    <row r="3" spans="1:30" s="200" customFormat="1" ht="17.25" customHeight="1" x14ac:dyDescent="0.2">
      <c r="A3" s="671" t="s">
        <v>318</v>
      </c>
      <c r="B3" s="377" t="s">
        <v>319</v>
      </c>
      <c r="C3" s="378" t="s">
        <v>320</v>
      </c>
      <c r="D3" s="379" t="s">
        <v>242</v>
      </c>
      <c r="E3" s="379" t="s">
        <v>242</v>
      </c>
      <c r="F3" s="379" t="s">
        <v>242</v>
      </c>
      <c r="G3" s="379" t="s">
        <v>321</v>
      </c>
      <c r="H3" s="379" t="s">
        <v>321</v>
      </c>
      <c r="I3" s="379" t="s">
        <v>321</v>
      </c>
      <c r="J3" s="379" t="s">
        <v>321</v>
      </c>
      <c r="K3" s="379" t="s">
        <v>242</v>
      </c>
      <c r="L3" s="379" t="s">
        <v>321</v>
      </c>
      <c r="M3" s="379"/>
      <c r="N3" s="379" t="s">
        <v>242</v>
      </c>
      <c r="O3" s="379"/>
      <c r="P3" s="379"/>
      <c r="Q3" s="379"/>
      <c r="R3" s="379"/>
      <c r="S3" s="379"/>
      <c r="T3" s="379"/>
      <c r="U3" s="379"/>
      <c r="V3" s="379"/>
      <c r="W3" s="379"/>
      <c r="X3" s="379"/>
      <c r="Y3" s="379"/>
      <c r="Z3" s="379"/>
      <c r="AA3" s="379"/>
      <c r="AB3" s="379"/>
      <c r="AC3" s="379"/>
      <c r="AD3" s="380"/>
    </row>
    <row r="4" spans="1:30" s="200" customFormat="1" ht="17.25" customHeight="1" x14ac:dyDescent="0.2">
      <c r="A4" s="672"/>
      <c r="B4" s="381" t="s">
        <v>322</v>
      </c>
      <c r="C4" s="374" t="s">
        <v>323</v>
      </c>
      <c r="D4" s="373" t="s">
        <v>242</v>
      </c>
      <c r="E4" s="373" t="s">
        <v>242</v>
      </c>
      <c r="F4" s="373" t="s">
        <v>321</v>
      </c>
      <c r="G4" s="373" t="s">
        <v>321</v>
      </c>
      <c r="H4" s="373" t="s">
        <v>321</v>
      </c>
      <c r="I4" s="373" t="s">
        <v>242</v>
      </c>
      <c r="J4" s="373" t="s">
        <v>242</v>
      </c>
      <c r="K4" s="373" t="s">
        <v>321</v>
      </c>
      <c r="L4" s="373" t="s">
        <v>242</v>
      </c>
      <c r="M4" s="373" t="s">
        <v>321</v>
      </c>
      <c r="N4" s="373" t="s">
        <v>242</v>
      </c>
      <c r="O4" s="373"/>
      <c r="P4" s="373"/>
      <c r="Q4" s="373"/>
      <c r="R4" s="373"/>
      <c r="S4" s="373"/>
      <c r="T4" s="373"/>
      <c r="U4" s="373"/>
      <c r="V4" s="373"/>
      <c r="W4" s="373"/>
      <c r="X4" s="373"/>
      <c r="Y4" s="373"/>
      <c r="Z4" s="373"/>
      <c r="AA4" s="373"/>
      <c r="AB4" s="373"/>
      <c r="AC4" s="373"/>
      <c r="AD4" s="382"/>
    </row>
    <row r="5" spans="1:30" s="200" customFormat="1" ht="17.25" customHeight="1" x14ac:dyDescent="0.2">
      <c r="A5" s="672"/>
      <c r="B5" s="381" t="s">
        <v>324</v>
      </c>
      <c r="C5" s="374" t="s">
        <v>325</v>
      </c>
      <c r="D5" s="373" t="s">
        <v>242</v>
      </c>
      <c r="E5" s="373" t="s">
        <v>242</v>
      </c>
      <c r="F5" s="373" t="s">
        <v>321</v>
      </c>
      <c r="G5" s="373" t="s">
        <v>321</v>
      </c>
      <c r="H5" s="373" t="s">
        <v>321</v>
      </c>
      <c r="I5" s="373" t="s">
        <v>242</v>
      </c>
      <c r="J5" s="373" t="s">
        <v>242</v>
      </c>
      <c r="K5" s="373" t="s">
        <v>321</v>
      </c>
      <c r="L5" s="373" t="s">
        <v>242</v>
      </c>
      <c r="M5" s="373" t="s">
        <v>321</v>
      </c>
      <c r="N5" s="373" t="s">
        <v>242</v>
      </c>
      <c r="O5" s="373" t="s">
        <v>242</v>
      </c>
      <c r="P5" s="373" t="s">
        <v>242</v>
      </c>
      <c r="Q5" s="373" t="s">
        <v>242</v>
      </c>
      <c r="R5" s="373" t="s">
        <v>242</v>
      </c>
      <c r="S5" s="373" t="s">
        <v>242</v>
      </c>
      <c r="T5" s="373" t="s">
        <v>242</v>
      </c>
      <c r="U5" s="373" t="s">
        <v>242</v>
      </c>
      <c r="V5" s="373" t="s">
        <v>242</v>
      </c>
      <c r="W5" s="373" t="s">
        <v>242</v>
      </c>
      <c r="X5" s="373" t="s">
        <v>242</v>
      </c>
      <c r="Y5" s="373" t="s">
        <v>242</v>
      </c>
      <c r="Z5" s="373" t="s">
        <v>242</v>
      </c>
      <c r="AA5" s="373" t="s">
        <v>242</v>
      </c>
      <c r="AB5" s="373" t="s">
        <v>242</v>
      </c>
      <c r="AC5" s="373" t="s">
        <v>242</v>
      </c>
      <c r="AD5" s="382" t="s">
        <v>242</v>
      </c>
    </row>
    <row r="6" spans="1:30" s="200" customFormat="1" ht="17.25" customHeight="1" x14ac:dyDescent="0.2">
      <c r="A6" s="672"/>
      <c r="B6" s="381" t="s">
        <v>326</v>
      </c>
      <c r="C6" s="374" t="s">
        <v>327</v>
      </c>
      <c r="D6" s="373" t="s">
        <v>242</v>
      </c>
      <c r="E6" s="373" t="s">
        <v>242</v>
      </c>
      <c r="F6" s="373" t="s">
        <v>321</v>
      </c>
      <c r="G6" s="373" t="s">
        <v>242</v>
      </c>
      <c r="H6" s="373" t="s">
        <v>321</v>
      </c>
      <c r="I6" s="373" t="s">
        <v>321</v>
      </c>
      <c r="J6" s="373" t="s">
        <v>242</v>
      </c>
      <c r="K6" s="373" t="s">
        <v>321</v>
      </c>
      <c r="L6" s="373" t="s">
        <v>242</v>
      </c>
      <c r="M6" s="373" t="s">
        <v>321</v>
      </c>
      <c r="N6" s="373" t="s">
        <v>242</v>
      </c>
      <c r="O6" s="373" t="s">
        <v>242</v>
      </c>
      <c r="P6" s="373" t="s">
        <v>242</v>
      </c>
      <c r="Q6" s="373" t="s">
        <v>242</v>
      </c>
      <c r="R6" s="373" t="s">
        <v>242</v>
      </c>
      <c r="S6" s="373" t="s">
        <v>242</v>
      </c>
      <c r="T6" s="373" t="s">
        <v>242</v>
      </c>
      <c r="U6" s="373" t="s">
        <v>242</v>
      </c>
      <c r="V6" s="373" t="s">
        <v>242</v>
      </c>
      <c r="W6" s="373" t="s">
        <v>242</v>
      </c>
      <c r="X6" s="373" t="s">
        <v>242</v>
      </c>
      <c r="Y6" s="373" t="s">
        <v>242</v>
      </c>
      <c r="Z6" s="373" t="s">
        <v>242</v>
      </c>
      <c r="AA6" s="373" t="s">
        <v>242</v>
      </c>
      <c r="AB6" s="373" t="s">
        <v>242</v>
      </c>
      <c r="AC6" s="373" t="s">
        <v>242</v>
      </c>
      <c r="AD6" s="382" t="s">
        <v>242</v>
      </c>
    </row>
    <row r="7" spans="1:30" s="200" customFormat="1" ht="17.25" customHeight="1" x14ac:dyDescent="0.2">
      <c r="A7" s="672"/>
      <c r="B7" s="381" t="s">
        <v>328</v>
      </c>
      <c r="C7" s="374" t="s">
        <v>329</v>
      </c>
      <c r="D7" s="373" t="s">
        <v>242</v>
      </c>
      <c r="E7" s="373" t="s">
        <v>242</v>
      </c>
      <c r="F7" s="373" t="s">
        <v>321</v>
      </c>
      <c r="G7" s="373" t="s">
        <v>242</v>
      </c>
      <c r="H7" s="373" t="s">
        <v>321</v>
      </c>
      <c r="I7" s="373" t="s">
        <v>242</v>
      </c>
      <c r="J7" s="373" t="s">
        <v>242</v>
      </c>
      <c r="K7" s="373" t="s">
        <v>321</v>
      </c>
      <c r="L7" s="373" t="s">
        <v>242</v>
      </c>
      <c r="M7" s="373" t="s">
        <v>321</v>
      </c>
      <c r="N7" s="373" t="s">
        <v>242</v>
      </c>
      <c r="O7" s="373" t="s">
        <v>242</v>
      </c>
      <c r="P7" s="373" t="s">
        <v>242</v>
      </c>
      <c r="Q7" s="373" t="s">
        <v>242</v>
      </c>
      <c r="R7" s="373" t="s">
        <v>242</v>
      </c>
      <c r="S7" s="373" t="s">
        <v>242</v>
      </c>
      <c r="T7" s="373" t="s">
        <v>242</v>
      </c>
      <c r="U7" s="373" t="s">
        <v>242</v>
      </c>
      <c r="V7" s="373" t="s">
        <v>242</v>
      </c>
      <c r="W7" s="373" t="s">
        <v>242</v>
      </c>
      <c r="X7" s="373" t="s">
        <v>242</v>
      </c>
      <c r="Y7" s="373" t="s">
        <v>242</v>
      </c>
      <c r="Z7" s="373" t="s">
        <v>242</v>
      </c>
      <c r="AA7" s="373" t="s">
        <v>242</v>
      </c>
      <c r="AB7" s="373" t="s">
        <v>242</v>
      </c>
      <c r="AC7" s="373" t="s">
        <v>242</v>
      </c>
      <c r="AD7" s="382" t="s">
        <v>242</v>
      </c>
    </row>
    <row r="8" spans="1:30" s="200" customFormat="1" ht="17.25" customHeight="1" x14ac:dyDescent="0.2">
      <c r="A8" s="672"/>
      <c r="B8" s="381" t="s">
        <v>330</v>
      </c>
      <c r="C8" s="374" t="s">
        <v>331</v>
      </c>
      <c r="D8" s="373" t="s">
        <v>242</v>
      </c>
      <c r="E8" s="373" t="s">
        <v>242</v>
      </c>
      <c r="F8" s="373" t="s">
        <v>321</v>
      </c>
      <c r="G8" s="373" t="s">
        <v>242</v>
      </c>
      <c r="H8" s="373" t="s">
        <v>242</v>
      </c>
      <c r="I8" s="373" t="s">
        <v>242</v>
      </c>
      <c r="J8" s="373" t="s">
        <v>242</v>
      </c>
      <c r="K8" s="373" t="s">
        <v>321</v>
      </c>
      <c r="L8" s="373" t="s">
        <v>242</v>
      </c>
      <c r="M8" s="373" t="s">
        <v>321</v>
      </c>
      <c r="N8" s="373" t="s">
        <v>242</v>
      </c>
      <c r="O8" s="373" t="s">
        <v>242</v>
      </c>
      <c r="P8" s="373" t="s">
        <v>242</v>
      </c>
      <c r="Q8" s="373" t="s">
        <v>242</v>
      </c>
      <c r="R8" s="373" t="s">
        <v>242</v>
      </c>
      <c r="S8" s="373" t="s">
        <v>242</v>
      </c>
      <c r="T8" s="373" t="s">
        <v>242</v>
      </c>
      <c r="U8" s="373" t="s">
        <v>242</v>
      </c>
      <c r="V8" s="373" t="s">
        <v>242</v>
      </c>
      <c r="W8" s="373" t="s">
        <v>242</v>
      </c>
      <c r="X8" s="373" t="s">
        <v>242</v>
      </c>
      <c r="Y8" s="373" t="s">
        <v>242</v>
      </c>
      <c r="Z8" s="373" t="s">
        <v>242</v>
      </c>
      <c r="AA8" s="373" t="s">
        <v>242</v>
      </c>
      <c r="AB8" s="373" t="s">
        <v>242</v>
      </c>
      <c r="AC8" s="373" t="s">
        <v>242</v>
      </c>
      <c r="AD8" s="382" t="s">
        <v>242</v>
      </c>
    </row>
    <row r="9" spans="1:30" s="200" customFormat="1" ht="17.25" customHeight="1" x14ac:dyDescent="0.2">
      <c r="A9" s="672"/>
      <c r="B9" s="381" t="s">
        <v>332</v>
      </c>
      <c r="C9" s="374" t="s">
        <v>333</v>
      </c>
      <c r="D9" s="373" t="s">
        <v>242</v>
      </c>
      <c r="E9" s="373" t="s">
        <v>242</v>
      </c>
      <c r="F9" s="373" t="s">
        <v>321</v>
      </c>
      <c r="G9" s="373" t="s">
        <v>321</v>
      </c>
      <c r="H9" s="373" t="s">
        <v>321</v>
      </c>
      <c r="I9" s="373" t="s">
        <v>321</v>
      </c>
      <c r="J9" s="373" t="s">
        <v>242</v>
      </c>
      <c r="K9" s="373" t="s">
        <v>321</v>
      </c>
      <c r="L9" s="373" t="s">
        <v>242</v>
      </c>
      <c r="M9" s="373" t="s">
        <v>321</v>
      </c>
      <c r="N9" s="373" t="s">
        <v>242</v>
      </c>
      <c r="O9" s="373" t="s">
        <v>242</v>
      </c>
      <c r="P9" s="373" t="s">
        <v>242</v>
      </c>
      <c r="Q9" s="373" t="s">
        <v>242</v>
      </c>
      <c r="R9" s="373" t="s">
        <v>242</v>
      </c>
      <c r="S9" s="373" t="s">
        <v>242</v>
      </c>
      <c r="T9" s="373" t="s">
        <v>242</v>
      </c>
      <c r="U9" s="373" t="s">
        <v>242</v>
      </c>
      <c r="V9" s="373" t="s">
        <v>242</v>
      </c>
      <c r="W9" s="373" t="s">
        <v>242</v>
      </c>
      <c r="X9" s="373" t="s">
        <v>242</v>
      </c>
      <c r="Y9" s="373" t="s">
        <v>242</v>
      </c>
      <c r="Z9" s="373" t="s">
        <v>242</v>
      </c>
      <c r="AA9" s="373" t="s">
        <v>242</v>
      </c>
      <c r="AB9" s="373" t="s">
        <v>242</v>
      </c>
      <c r="AC9" s="373" t="s">
        <v>242</v>
      </c>
      <c r="AD9" s="382" t="s">
        <v>242</v>
      </c>
    </row>
    <row r="10" spans="1:30" s="200" customFormat="1" ht="17.25" customHeight="1" x14ac:dyDescent="0.2">
      <c r="A10" s="672"/>
      <c r="B10" s="381" t="s">
        <v>334</v>
      </c>
      <c r="C10" s="374" t="s">
        <v>335</v>
      </c>
      <c r="D10" s="373" t="s">
        <v>242</v>
      </c>
      <c r="E10" s="373" t="s">
        <v>242</v>
      </c>
      <c r="F10" s="373" t="s">
        <v>321</v>
      </c>
      <c r="G10" s="373" t="s">
        <v>321</v>
      </c>
      <c r="H10" s="373" t="s">
        <v>242</v>
      </c>
      <c r="I10" s="373" t="s">
        <v>321</v>
      </c>
      <c r="J10" s="373" t="s">
        <v>242</v>
      </c>
      <c r="K10" s="373" t="s">
        <v>321</v>
      </c>
      <c r="L10" s="373" t="s">
        <v>242</v>
      </c>
      <c r="M10" s="373" t="s">
        <v>321</v>
      </c>
      <c r="N10" s="373" t="s">
        <v>242</v>
      </c>
      <c r="O10" s="373" t="s">
        <v>242</v>
      </c>
      <c r="P10" s="373" t="s">
        <v>242</v>
      </c>
      <c r="Q10" s="373" t="s">
        <v>242</v>
      </c>
      <c r="R10" s="373" t="s">
        <v>242</v>
      </c>
      <c r="S10" s="373" t="s">
        <v>242</v>
      </c>
      <c r="T10" s="373" t="s">
        <v>242</v>
      </c>
      <c r="U10" s="373" t="s">
        <v>242</v>
      </c>
      <c r="V10" s="373" t="s">
        <v>242</v>
      </c>
      <c r="W10" s="373" t="s">
        <v>242</v>
      </c>
      <c r="X10" s="373" t="s">
        <v>242</v>
      </c>
      <c r="Y10" s="373" t="s">
        <v>242</v>
      </c>
      <c r="Z10" s="373" t="s">
        <v>242</v>
      </c>
      <c r="AA10" s="373" t="s">
        <v>242</v>
      </c>
      <c r="AB10" s="373" t="s">
        <v>242</v>
      </c>
      <c r="AC10" s="373" t="s">
        <v>242</v>
      </c>
      <c r="AD10" s="382" t="s">
        <v>242</v>
      </c>
    </row>
    <row r="11" spans="1:30" s="200" customFormat="1" ht="17.25" customHeight="1" x14ac:dyDescent="0.2">
      <c r="A11" s="672"/>
      <c r="B11" s="381" t="s">
        <v>336</v>
      </c>
      <c r="C11" s="374" t="s">
        <v>337</v>
      </c>
      <c r="D11" s="373" t="s">
        <v>242</v>
      </c>
      <c r="E11" s="373" t="s">
        <v>242</v>
      </c>
      <c r="F11" s="373" t="s">
        <v>321</v>
      </c>
      <c r="G11" s="373" t="s">
        <v>321</v>
      </c>
      <c r="H11" s="373" t="s">
        <v>321</v>
      </c>
      <c r="I11" s="373" t="s">
        <v>321</v>
      </c>
      <c r="J11" s="373" t="s">
        <v>242</v>
      </c>
      <c r="K11" s="373" t="s">
        <v>321</v>
      </c>
      <c r="L11" s="373" t="s">
        <v>242</v>
      </c>
      <c r="M11" s="373" t="s">
        <v>321</v>
      </c>
      <c r="N11" s="373" t="s">
        <v>242</v>
      </c>
      <c r="O11" s="373" t="s">
        <v>242</v>
      </c>
      <c r="P11" s="373" t="s">
        <v>242</v>
      </c>
      <c r="Q11" s="373" t="s">
        <v>242</v>
      </c>
      <c r="R11" s="373" t="s">
        <v>242</v>
      </c>
      <c r="S11" s="373" t="s">
        <v>242</v>
      </c>
      <c r="T11" s="373" t="s">
        <v>242</v>
      </c>
      <c r="U11" s="373" t="s">
        <v>242</v>
      </c>
      <c r="V11" s="373" t="s">
        <v>242</v>
      </c>
      <c r="W11" s="373" t="s">
        <v>242</v>
      </c>
      <c r="X11" s="373" t="s">
        <v>242</v>
      </c>
      <c r="Y11" s="373" t="s">
        <v>242</v>
      </c>
      <c r="Z11" s="373" t="s">
        <v>242</v>
      </c>
      <c r="AA11" s="373" t="s">
        <v>242</v>
      </c>
      <c r="AB11" s="373" t="s">
        <v>242</v>
      </c>
      <c r="AC11" s="373" t="s">
        <v>242</v>
      </c>
      <c r="AD11" s="382" t="s">
        <v>242</v>
      </c>
    </row>
    <row r="12" spans="1:30" s="200" customFormat="1" ht="17.25" customHeight="1" x14ac:dyDescent="0.2">
      <c r="A12" s="672"/>
      <c r="B12" s="381" t="s">
        <v>338</v>
      </c>
      <c r="C12" s="374" t="s">
        <v>339</v>
      </c>
      <c r="D12" s="373" t="s">
        <v>242</v>
      </c>
      <c r="E12" s="373" t="s">
        <v>242</v>
      </c>
      <c r="F12" s="373" t="s">
        <v>321</v>
      </c>
      <c r="G12" s="373" t="s">
        <v>321</v>
      </c>
      <c r="H12" s="373" t="s">
        <v>321</v>
      </c>
      <c r="I12" s="373" t="s">
        <v>321</v>
      </c>
      <c r="J12" s="373" t="s">
        <v>242</v>
      </c>
      <c r="K12" s="373" t="s">
        <v>321</v>
      </c>
      <c r="L12" s="373" t="s">
        <v>242</v>
      </c>
      <c r="M12" s="373" t="s">
        <v>321</v>
      </c>
      <c r="N12" s="373" t="s">
        <v>242</v>
      </c>
      <c r="O12" s="373"/>
      <c r="P12" s="373"/>
      <c r="Q12" s="373"/>
      <c r="R12" s="373"/>
      <c r="S12" s="373"/>
      <c r="T12" s="373"/>
      <c r="U12" s="373"/>
      <c r="V12" s="373"/>
      <c r="W12" s="373"/>
      <c r="X12" s="373"/>
      <c r="Y12" s="373"/>
      <c r="Z12" s="373"/>
      <c r="AA12" s="373"/>
      <c r="AB12" s="373"/>
      <c r="AC12" s="373"/>
      <c r="AD12" s="382"/>
    </row>
    <row r="13" spans="1:30" s="200" customFormat="1" ht="17.25" customHeight="1" thickBot="1" x14ac:dyDescent="0.25">
      <c r="A13" s="673"/>
      <c r="B13" s="383" t="s">
        <v>340</v>
      </c>
      <c r="C13" s="384" t="s">
        <v>341</v>
      </c>
      <c r="D13" s="385" t="s">
        <v>242</v>
      </c>
      <c r="E13" s="385" t="s">
        <v>242</v>
      </c>
      <c r="F13" s="385" t="s">
        <v>321</v>
      </c>
      <c r="G13" s="385"/>
      <c r="H13" s="385" t="s">
        <v>321</v>
      </c>
      <c r="I13" s="385"/>
      <c r="J13" s="385" t="s">
        <v>242</v>
      </c>
      <c r="K13" s="385" t="s">
        <v>321</v>
      </c>
      <c r="L13" s="385" t="s">
        <v>242</v>
      </c>
      <c r="M13" s="385" t="s">
        <v>321</v>
      </c>
      <c r="N13" s="385" t="s">
        <v>242</v>
      </c>
      <c r="O13" s="385" t="s">
        <v>242</v>
      </c>
      <c r="P13" s="385" t="s">
        <v>242</v>
      </c>
      <c r="Q13" s="385" t="s">
        <v>242</v>
      </c>
      <c r="R13" s="385" t="s">
        <v>242</v>
      </c>
      <c r="S13" s="385" t="s">
        <v>242</v>
      </c>
      <c r="T13" s="385" t="s">
        <v>242</v>
      </c>
      <c r="U13" s="385" t="s">
        <v>242</v>
      </c>
      <c r="V13" s="385" t="s">
        <v>242</v>
      </c>
      <c r="W13" s="385" t="s">
        <v>242</v>
      </c>
      <c r="X13" s="385" t="s">
        <v>242</v>
      </c>
      <c r="Y13" s="385" t="s">
        <v>242</v>
      </c>
      <c r="Z13" s="385" t="s">
        <v>242</v>
      </c>
      <c r="AA13" s="385" t="s">
        <v>242</v>
      </c>
      <c r="AB13" s="385" t="s">
        <v>242</v>
      </c>
      <c r="AC13" s="385" t="s">
        <v>242</v>
      </c>
      <c r="AD13" s="386" t="s">
        <v>242</v>
      </c>
    </row>
  </sheetData>
  <mergeCells count="1">
    <mergeCell ref="A3:A13"/>
  </mergeCells>
  <conditionalFormatting sqref="D3:AD13">
    <cfRule type="cellIs" dxfId="3" priority="1" operator="equal">
      <formula>""</formula>
    </cfRule>
  </conditionalFormatting>
  <hyperlinks>
    <hyperlink ref="C1" location="Inventory!A1" display="Inventory" xr:uid="{00000000-0004-0000-0C00-000000000000}"/>
  </hyperlinks>
  <pageMargins left="0.75" right="0.75" top="1" bottom="1" header="0.5" footer="0.5"/>
  <pageSetup paperSize="17" scale="4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13"/>
  <sheetViews>
    <sheetView showGridLines="0" zoomScale="80" workbookViewId="0">
      <selection activeCell="C1" sqref="C1"/>
    </sheetView>
  </sheetViews>
  <sheetFormatPr defaultColWidth="8.85546875" defaultRowHeight="11.25" x14ac:dyDescent="0.2"/>
  <cols>
    <col min="1" max="1" width="6.42578125" style="199" bestFit="1" customWidth="1"/>
    <col min="2" max="2" width="13.140625" style="199" bestFit="1" customWidth="1"/>
    <col min="3" max="3" width="74.28515625" style="199" bestFit="1" customWidth="1"/>
    <col min="4" max="5" width="5.7109375" style="199" customWidth="1"/>
    <col min="6" max="9" width="5.7109375" style="200" customWidth="1"/>
    <col min="10" max="30" width="5.7109375" style="199" customWidth="1"/>
    <col min="31" max="16384" width="8.85546875" style="199"/>
  </cols>
  <sheetData>
    <row r="1" spans="1:30" ht="27" customHeight="1" x14ac:dyDescent="0.2">
      <c r="A1" s="207" t="s">
        <v>2</v>
      </c>
      <c r="B1" s="387">
        <v>43435</v>
      </c>
      <c r="C1" s="213" t="s">
        <v>63</v>
      </c>
      <c r="G1" s="205"/>
      <c r="H1" s="205"/>
      <c r="I1" s="206"/>
      <c r="J1" s="205"/>
      <c r="K1" s="204"/>
      <c r="L1" s="203"/>
      <c r="M1" s="203"/>
      <c r="N1" s="200"/>
      <c r="O1" s="200"/>
      <c r="P1" s="200"/>
      <c r="Q1" s="200"/>
      <c r="R1" s="200"/>
      <c r="S1" s="200"/>
      <c r="T1" s="200"/>
      <c r="U1" s="200"/>
      <c r="V1" s="200"/>
      <c r="W1" s="200"/>
      <c r="X1" s="200"/>
      <c r="Y1" s="200"/>
      <c r="Z1" s="200"/>
      <c r="AA1" s="200"/>
      <c r="AB1" s="200"/>
      <c r="AC1" s="200"/>
    </row>
    <row r="2" spans="1:30" s="201" customFormat="1" ht="285.75" thickBot="1" x14ac:dyDescent="0.25">
      <c r="B2" s="202"/>
      <c r="C2" s="208" t="s">
        <v>343</v>
      </c>
      <c r="D2" s="375" t="s">
        <v>251</v>
      </c>
      <c r="E2" s="376" t="s">
        <v>317</v>
      </c>
      <c r="F2" s="375" t="s">
        <v>165</v>
      </c>
      <c r="G2" s="376" t="s">
        <v>167</v>
      </c>
      <c r="H2" s="375" t="s">
        <v>168</v>
      </c>
      <c r="I2" s="376" t="s">
        <v>170</v>
      </c>
      <c r="J2" s="375" t="s">
        <v>171</v>
      </c>
      <c r="K2" s="376" t="s">
        <v>173</v>
      </c>
      <c r="L2" s="375" t="s">
        <v>174</v>
      </c>
      <c r="M2" s="376" t="s">
        <v>176</v>
      </c>
      <c r="N2" s="375" t="s">
        <v>177</v>
      </c>
      <c r="O2" s="376" t="s">
        <v>180</v>
      </c>
      <c r="P2" s="375" t="s">
        <v>148</v>
      </c>
      <c r="Q2" s="376" t="s">
        <v>182</v>
      </c>
      <c r="R2" s="375" t="s">
        <v>152</v>
      </c>
      <c r="S2" s="376" t="s">
        <v>253</v>
      </c>
      <c r="T2" s="375" t="s">
        <v>186</v>
      </c>
      <c r="U2" s="376" t="s">
        <v>187</v>
      </c>
      <c r="V2" s="375" t="s">
        <v>188</v>
      </c>
      <c r="W2" s="376" t="s">
        <v>189</v>
      </c>
      <c r="X2" s="375" t="s">
        <v>190</v>
      </c>
      <c r="Y2" s="376" t="s">
        <v>191</v>
      </c>
      <c r="Z2" s="375" t="s">
        <v>192</v>
      </c>
      <c r="AA2" s="376" t="s">
        <v>193</v>
      </c>
      <c r="AB2" s="375" t="s">
        <v>194</v>
      </c>
      <c r="AC2" s="376" t="s">
        <v>195</v>
      </c>
      <c r="AD2" s="375" t="s">
        <v>196</v>
      </c>
    </row>
    <row r="3" spans="1:30" s="200" customFormat="1" ht="17.25" customHeight="1" x14ac:dyDescent="0.2">
      <c r="A3" s="671" t="s">
        <v>318</v>
      </c>
      <c r="B3" s="377" t="s">
        <v>319</v>
      </c>
      <c r="C3" s="378" t="s">
        <v>320</v>
      </c>
      <c r="D3" s="379" t="s">
        <v>242</v>
      </c>
      <c r="E3" s="379" t="s">
        <v>242</v>
      </c>
      <c r="F3" s="379" t="s">
        <v>242</v>
      </c>
      <c r="G3" s="379" t="s">
        <v>321</v>
      </c>
      <c r="H3" s="379" t="s">
        <v>321</v>
      </c>
      <c r="I3" s="379" t="s">
        <v>321</v>
      </c>
      <c r="J3" s="379" t="s">
        <v>321</v>
      </c>
      <c r="K3" s="379" t="s">
        <v>242</v>
      </c>
      <c r="L3" s="379" t="s">
        <v>321</v>
      </c>
      <c r="M3" s="379" t="s">
        <v>242</v>
      </c>
      <c r="N3" s="379" t="s">
        <v>242</v>
      </c>
      <c r="O3" s="379"/>
      <c r="P3" s="379"/>
      <c r="Q3" s="379"/>
      <c r="R3" s="379"/>
      <c r="S3" s="379"/>
      <c r="T3" s="379"/>
      <c r="U3" s="379"/>
      <c r="V3" s="379"/>
      <c r="W3" s="379"/>
      <c r="X3" s="379"/>
      <c r="Y3" s="379"/>
      <c r="Z3" s="379"/>
      <c r="AA3" s="379"/>
      <c r="AB3" s="379"/>
      <c r="AC3" s="379"/>
      <c r="AD3" s="380"/>
    </row>
    <row r="4" spans="1:30" s="200" customFormat="1" ht="17.25" customHeight="1" x14ac:dyDescent="0.2">
      <c r="A4" s="672"/>
      <c r="B4" s="381" t="s">
        <v>322</v>
      </c>
      <c r="C4" s="374" t="s">
        <v>323</v>
      </c>
      <c r="D4" s="373" t="s">
        <v>242</v>
      </c>
      <c r="E4" s="373" t="s">
        <v>242</v>
      </c>
      <c r="F4" s="373" t="s">
        <v>321</v>
      </c>
      <c r="G4" s="373" t="s">
        <v>321</v>
      </c>
      <c r="H4" s="373" t="s">
        <v>321</v>
      </c>
      <c r="I4" s="373" t="s">
        <v>242</v>
      </c>
      <c r="J4" s="373" t="s">
        <v>242</v>
      </c>
      <c r="K4" s="373" t="s">
        <v>321</v>
      </c>
      <c r="L4" s="373" t="s">
        <v>242</v>
      </c>
      <c r="M4" s="373" t="s">
        <v>321</v>
      </c>
      <c r="N4" s="373" t="s">
        <v>242</v>
      </c>
      <c r="O4" s="373"/>
      <c r="P4" s="373"/>
      <c r="Q4" s="373"/>
      <c r="R4" s="373"/>
      <c r="S4" s="373"/>
      <c r="T4" s="373"/>
      <c r="U4" s="373"/>
      <c r="V4" s="373"/>
      <c r="W4" s="373"/>
      <c r="X4" s="373"/>
      <c r="Y4" s="373"/>
      <c r="Z4" s="373"/>
      <c r="AA4" s="373"/>
      <c r="AB4" s="373"/>
      <c r="AC4" s="373"/>
      <c r="AD4" s="382"/>
    </row>
    <row r="5" spans="1:30" s="200" customFormat="1" ht="17.25" customHeight="1" x14ac:dyDescent="0.2">
      <c r="A5" s="672"/>
      <c r="B5" s="381" t="s">
        <v>324</v>
      </c>
      <c r="C5" s="374" t="s">
        <v>325</v>
      </c>
      <c r="D5" s="373" t="s">
        <v>242</v>
      </c>
      <c r="E5" s="373" t="s">
        <v>242</v>
      </c>
      <c r="F5" s="373" t="s">
        <v>321</v>
      </c>
      <c r="G5" s="373" t="s">
        <v>321</v>
      </c>
      <c r="H5" s="373" t="s">
        <v>321</v>
      </c>
      <c r="I5" s="373" t="s">
        <v>242</v>
      </c>
      <c r="J5" s="373" t="s">
        <v>242</v>
      </c>
      <c r="K5" s="373" t="s">
        <v>321</v>
      </c>
      <c r="L5" s="373" t="s">
        <v>242</v>
      </c>
      <c r="M5" s="373" t="s">
        <v>321</v>
      </c>
      <c r="N5" s="373" t="s">
        <v>242</v>
      </c>
      <c r="O5" s="373" t="s">
        <v>242</v>
      </c>
      <c r="P5" s="373" t="s">
        <v>242</v>
      </c>
      <c r="Q5" s="373" t="s">
        <v>242</v>
      </c>
      <c r="R5" s="373" t="s">
        <v>242</v>
      </c>
      <c r="S5" s="373" t="s">
        <v>242</v>
      </c>
      <c r="T5" s="373" t="s">
        <v>242</v>
      </c>
      <c r="U5" s="373" t="s">
        <v>242</v>
      </c>
      <c r="V5" s="373" t="s">
        <v>242</v>
      </c>
      <c r="W5" s="373" t="s">
        <v>242</v>
      </c>
      <c r="X5" s="373" t="s">
        <v>242</v>
      </c>
      <c r="Y5" s="373" t="s">
        <v>242</v>
      </c>
      <c r="Z5" s="373" t="s">
        <v>242</v>
      </c>
      <c r="AA5" s="373" t="s">
        <v>242</v>
      </c>
      <c r="AB5" s="373" t="s">
        <v>242</v>
      </c>
      <c r="AC5" s="373" t="s">
        <v>242</v>
      </c>
      <c r="AD5" s="382" t="s">
        <v>242</v>
      </c>
    </row>
    <row r="6" spans="1:30" s="200" customFormat="1" ht="17.25" customHeight="1" x14ac:dyDescent="0.2">
      <c r="A6" s="672"/>
      <c r="B6" s="381" t="s">
        <v>326</v>
      </c>
      <c r="C6" s="374" t="s">
        <v>327</v>
      </c>
      <c r="D6" s="373" t="s">
        <v>242</v>
      </c>
      <c r="E6" s="373" t="s">
        <v>242</v>
      </c>
      <c r="F6" s="373" t="s">
        <v>321</v>
      </c>
      <c r="G6" s="373" t="s">
        <v>242</v>
      </c>
      <c r="H6" s="373" t="s">
        <v>321</v>
      </c>
      <c r="I6" s="373" t="s">
        <v>321</v>
      </c>
      <c r="J6" s="373" t="s">
        <v>242</v>
      </c>
      <c r="K6" s="373" t="s">
        <v>321</v>
      </c>
      <c r="L6" s="373" t="s">
        <v>242</v>
      </c>
      <c r="M6" s="373" t="s">
        <v>321</v>
      </c>
      <c r="N6" s="373" t="s">
        <v>242</v>
      </c>
      <c r="O6" s="373" t="s">
        <v>242</v>
      </c>
      <c r="P6" s="373" t="s">
        <v>242</v>
      </c>
      <c r="Q6" s="373" t="s">
        <v>242</v>
      </c>
      <c r="R6" s="373" t="s">
        <v>242</v>
      </c>
      <c r="S6" s="373" t="s">
        <v>242</v>
      </c>
      <c r="T6" s="373" t="s">
        <v>242</v>
      </c>
      <c r="U6" s="373" t="s">
        <v>242</v>
      </c>
      <c r="V6" s="373" t="s">
        <v>242</v>
      </c>
      <c r="W6" s="373" t="s">
        <v>242</v>
      </c>
      <c r="X6" s="373" t="s">
        <v>242</v>
      </c>
      <c r="Y6" s="373" t="s">
        <v>242</v>
      </c>
      <c r="Z6" s="373" t="s">
        <v>242</v>
      </c>
      <c r="AA6" s="373" t="s">
        <v>242</v>
      </c>
      <c r="AB6" s="373" t="s">
        <v>242</v>
      </c>
      <c r="AC6" s="373" t="s">
        <v>242</v>
      </c>
      <c r="AD6" s="382" t="s">
        <v>242</v>
      </c>
    </row>
    <row r="7" spans="1:30" s="200" customFormat="1" ht="17.25" customHeight="1" x14ac:dyDescent="0.2">
      <c r="A7" s="672"/>
      <c r="B7" s="381" t="s">
        <v>328</v>
      </c>
      <c r="C7" s="374" t="s">
        <v>329</v>
      </c>
      <c r="D7" s="373" t="s">
        <v>242</v>
      </c>
      <c r="E7" s="373" t="s">
        <v>242</v>
      </c>
      <c r="F7" s="373" t="s">
        <v>321</v>
      </c>
      <c r="G7" s="373" t="s">
        <v>242</v>
      </c>
      <c r="H7" s="373" t="s">
        <v>321</v>
      </c>
      <c r="I7" s="373" t="s">
        <v>242</v>
      </c>
      <c r="J7" s="373" t="s">
        <v>242</v>
      </c>
      <c r="K7" s="373" t="s">
        <v>321</v>
      </c>
      <c r="L7" s="373" t="s">
        <v>242</v>
      </c>
      <c r="M7" s="373" t="s">
        <v>321</v>
      </c>
      <c r="N7" s="373" t="s">
        <v>242</v>
      </c>
      <c r="O7" s="373" t="s">
        <v>242</v>
      </c>
      <c r="P7" s="373" t="s">
        <v>242</v>
      </c>
      <c r="Q7" s="373" t="s">
        <v>242</v>
      </c>
      <c r="R7" s="373" t="s">
        <v>242</v>
      </c>
      <c r="S7" s="373" t="s">
        <v>242</v>
      </c>
      <c r="T7" s="373" t="s">
        <v>242</v>
      </c>
      <c r="U7" s="373" t="s">
        <v>242</v>
      </c>
      <c r="V7" s="373" t="s">
        <v>242</v>
      </c>
      <c r="W7" s="373" t="s">
        <v>242</v>
      </c>
      <c r="X7" s="373" t="s">
        <v>242</v>
      </c>
      <c r="Y7" s="373" t="s">
        <v>242</v>
      </c>
      <c r="Z7" s="373" t="s">
        <v>242</v>
      </c>
      <c r="AA7" s="373" t="s">
        <v>242</v>
      </c>
      <c r="AB7" s="373" t="s">
        <v>242</v>
      </c>
      <c r="AC7" s="373" t="s">
        <v>242</v>
      </c>
      <c r="AD7" s="382" t="s">
        <v>242</v>
      </c>
    </row>
    <row r="8" spans="1:30" s="200" customFormat="1" ht="17.25" customHeight="1" x14ac:dyDescent="0.2">
      <c r="A8" s="672"/>
      <c r="B8" s="381" t="s">
        <v>330</v>
      </c>
      <c r="C8" s="374" t="s">
        <v>331</v>
      </c>
      <c r="D8" s="373" t="s">
        <v>242</v>
      </c>
      <c r="E8" s="373" t="s">
        <v>242</v>
      </c>
      <c r="F8" s="373" t="s">
        <v>321</v>
      </c>
      <c r="G8" s="373" t="s">
        <v>242</v>
      </c>
      <c r="H8" s="373" t="s">
        <v>242</v>
      </c>
      <c r="I8" s="373" t="s">
        <v>242</v>
      </c>
      <c r="J8" s="373" t="s">
        <v>242</v>
      </c>
      <c r="K8" s="373" t="s">
        <v>321</v>
      </c>
      <c r="L8" s="373" t="s">
        <v>242</v>
      </c>
      <c r="M8" s="373" t="s">
        <v>321</v>
      </c>
      <c r="N8" s="373" t="s">
        <v>242</v>
      </c>
      <c r="O8" s="373" t="s">
        <v>242</v>
      </c>
      <c r="P8" s="373" t="s">
        <v>242</v>
      </c>
      <c r="Q8" s="373" t="s">
        <v>242</v>
      </c>
      <c r="R8" s="373" t="s">
        <v>242</v>
      </c>
      <c r="S8" s="373" t="s">
        <v>242</v>
      </c>
      <c r="T8" s="373" t="s">
        <v>242</v>
      </c>
      <c r="U8" s="373" t="s">
        <v>242</v>
      </c>
      <c r="V8" s="373" t="s">
        <v>242</v>
      </c>
      <c r="W8" s="373" t="s">
        <v>242</v>
      </c>
      <c r="X8" s="373" t="s">
        <v>242</v>
      </c>
      <c r="Y8" s="373" t="s">
        <v>242</v>
      </c>
      <c r="Z8" s="373" t="s">
        <v>242</v>
      </c>
      <c r="AA8" s="373" t="s">
        <v>242</v>
      </c>
      <c r="AB8" s="373" t="s">
        <v>242</v>
      </c>
      <c r="AC8" s="373" t="s">
        <v>242</v>
      </c>
      <c r="AD8" s="382" t="s">
        <v>242</v>
      </c>
    </row>
    <row r="9" spans="1:30" s="200" customFormat="1" ht="17.25" customHeight="1" x14ac:dyDescent="0.2">
      <c r="A9" s="672"/>
      <c r="B9" s="381" t="s">
        <v>332</v>
      </c>
      <c r="C9" s="374" t="s">
        <v>333</v>
      </c>
      <c r="D9" s="373" t="s">
        <v>242</v>
      </c>
      <c r="E9" s="373" t="s">
        <v>242</v>
      </c>
      <c r="F9" s="373" t="s">
        <v>321</v>
      </c>
      <c r="G9" s="373" t="s">
        <v>321</v>
      </c>
      <c r="H9" s="373" t="s">
        <v>321</v>
      </c>
      <c r="I9" s="373" t="s">
        <v>321</v>
      </c>
      <c r="J9" s="373" t="s">
        <v>242</v>
      </c>
      <c r="K9" s="373" t="s">
        <v>321</v>
      </c>
      <c r="L9" s="373" t="s">
        <v>242</v>
      </c>
      <c r="M9" s="373" t="s">
        <v>321</v>
      </c>
      <c r="N9" s="373" t="s">
        <v>242</v>
      </c>
      <c r="O9" s="373" t="s">
        <v>242</v>
      </c>
      <c r="P9" s="373" t="s">
        <v>242</v>
      </c>
      <c r="Q9" s="373" t="s">
        <v>242</v>
      </c>
      <c r="R9" s="373" t="s">
        <v>242</v>
      </c>
      <c r="S9" s="373" t="s">
        <v>242</v>
      </c>
      <c r="T9" s="373" t="s">
        <v>242</v>
      </c>
      <c r="U9" s="373" t="s">
        <v>242</v>
      </c>
      <c r="V9" s="373" t="s">
        <v>242</v>
      </c>
      <c r="W9" s="373" t="s">
        <v>242</v>
      </c>
      <c r="X9" s="373" t="s">
        <v>242</v>
      </c>
      <c r="Y9" s="373" t="s">
        <v>242</v>
      </c>
      <c r="Z9" s="373" t="s">
        <v>242</v>
      </c>
      <c r="AA9" s="373" t="s">
        <v>242</v>
      </c>
      <c r="AB9" s="373" t="s">
        <v>242</v>
      </c>
      <c r="AC9" s="373" t="s">
        <v>242</v>
      </c>
      <c r="AD9" s="382" t="s">
        <v>242</v>
      </c>
    </row>
    <row r="10" spans="1:30" s="200" customFormat="1" ht="17.25" customHeight="1" x14ac:dyDescent="0.2">
      <c r="A10" s="672"/>
      <c r="B10" s="381" t="s">
        <v>334</v>
      </c>
      <c r="C10" s="374" t="s">
        <v>335</v>
      </c>
      <c r="D10" s="373" t="s">
        <v>242</v>
      </c>
      <c r="E10" s="373" t="s">
        <v>242</v>
      </c>
      <c r="F10" s="373" t="s">
        <v>321</v>
      </c>
      <c r="G10" s="373" t="s">
        <v>321</v>
      </c>
      <c r="H10" s="373" t="s">
        <v>242</v>
      </c>
      <c r="I10" s="373" t="s">
        <v>321</v>
      </c>
      <c r="J10" s="373" t="s">
        <v>242</v>
      </c>
      <c r="K10" s="373" t="s">
        <v>321</v>
      </c>
      <c r="L10" s="373" t="s">
        <v>242</v>
      </c>
      <c r="M10" s="373" t="s">
        <v>321</v>
      </c>
      <c r="N10" s="373" t="s">
        <v>242</v>
      </c>
      <c r="O10" s="373" t="s">
        <v>242</v>
      </c>
      <c r="P10" s="373" t="s">
        <v>242</v>
      </c>
      <c r="Q10" s="373" t="s">
        <v>242</v>
      </c>
      <c r="R10" s="373" t="s">
        <v>242</v>
      </c>
      <c r="S10" s="373" t="s">
        <v>242</v>
      </c>
      <c r="T10" s="373" t="s">
        <v>242</v>
      </c>
      <c r="U10" s="373" t="s">
        <v>242</v>
      </c>
      <c r="V10" s="373" t="s">
        <v>242</v>
      </c>
      <c r="W10" s="373" t="s">
        <v>242</v>
      </c>
      <c r="X10" s="373" t="s">
        <v>242</v>
      </c>
      <c r="Y10" s="373" t="s">
        <v>242</v>
      </c>
      <c r="Z10" s="373" t="s">
        <v>242</v>
      </c>
      <c r="AA10" s="373" t="s">
        <v>242</v>
      </c>
      <c r="AB10" s="373" t="s">
        <v>242</v>
      </c>
      <c r="AC10" s="373" t="s">
        <v>242</v>
      </c>
      <c r="AD10" s="382" t="s">
        <v>242</v>
      </c>
    </row>
    <row r="11" spans="1:30" s="200" customFormat="1" ht="17.25" customHeight="1" x14ac:dyDescent="0.2">
      <c r="A11" s="672"/>
      <c r="B11" s="381" t="s">
        <v>336</v>
      </c>
      <c r="C11" s="374" t="s">
        <v>337</v>
      </c>
      <c r="D11" s="373" t="s">
        <v>242</v>
      </c>
      <c r="E11" s="373" t="s">
        <v>242</v>
      </c>
      <c r="F11" s="373" t="s">
        <v>321</v>
      </c>
      <c r="G11" s="373" t="s">
        <v>321</v>
      </c>
      <c r="H11" s="373" t="s">
        <v>321</v>
      </c>
      <c r="I11" s="373" t="s">
        <v>321</v>
      </c>
      <c r="J11" s="373" t="s">
        <v>242</v>
      </c>
      <c r="K11" s="373" t="s">
        <v>321</v>
      </c>
      <c r="L11" s="373" t="s">
        <v>242</v>
      </c>
      <c r="M11" s="373" t="s">
        <v>321</v>
      </c>
      <c r="N11" s="373" t="s">
        <v>242</v>
      </c>
      <c r="O11" s="373" t="s">
        <v>242</v>
      </c>
      <c r="P11" s="373" t="s">
        <v>242</v>
      </c>
      <c r="Q11" s="373" t="s">
        <v>242</v>
      </c>
      <c r="R11" s="373" t="s">
        <v>242</v>
      </c>
      <c r="S11" s="373" t="s">
        <v>242</v>
      </c>
      <c r="T11" s="373" t="s">
        <v>242</v>
      </c>
      <c r="U11" s="373" t="s">
        <v>242</v>
      </c>
      <c r="V11" s="373" t="s">
        <v>242</v>
      </c>
      <c r="W11" s="373" t="s">
        <v>242</v>
      </c>
      <c r="X11" s="373" t="s">
        <v>242</v>
      </c>
      <c r="Y11" s="373" t="s">
        <v>242</v>
      </c>
      <c r="Z11" s="373" t="s">
        <v>242</v>
      </c>
      <c r="AA11" s="373" t="s">
        <v>242</v>
      </c>
      <c r="AB11" s="373" t="s">
        <v>242</v>
      </c>
      <c r="AC11" s="373" t="s">
        <v>242</v>
      </c>
      <c r="AD11" s="382" t="s">
        <v>242</v>
      </c>
    </row>
    <row r="12" spans="1:30" s="200" customFormat="1" ht="17.25" customHeight="1" x14ac:dyDescent="0.2">
      <c r="A12" s="672"/>
      <c r="B12" s="381" t="s">
        <v>338</v>
      </c>
      <c r="C12" s="374" t="s">
        <v>339</v>
      </c>
      <c r="D12" s="373" t="s">
        <v>242</v>
      </c>
      <c r="E12" s="373" t="s">
        <v>242</v>
      </c>
      <c r="F12" s="373" t="s">
        <v>321</v>
      </c>
      <c r="G12" s="373" t="s">
        <v>321</v>
      </c>
      <c r="H12" s="373" t="s">
        <v>321</v>
      </c>
      <c r="I12" s="373" t="s">
        <v>321</v>
      </c>
      <c r="J12" s="373" t="s">
        <v>242</v>
      </c>
      <c r="K12" s="373" t="s">
        <v>321</v>
      </c>
      <c r="L12" s="373" t="s">
        <v>242</v>
      </c>
      <c r="M12" s="373" t="s">
        <v>321</v>
      </c>
      <c r="N12" s="373" t="s">
        <v>242</v>
      </c>
      <c r="O12" s="373"/>
      <c r="P12" s="373"/>
      <c r="Q12" s="373"/>
      <c r="R12" s="373"/>
      <c r="S12" s="373"/>
      <c r="T12" s="373"/>
      <c r="U12" s="373"/>
      <c r="V12" s="373"/>
      <c r="W12" s="373"/>
      <c r="X12" s="373"/>
      <c r="Y12" s="373"/>
      <c r="Z12" s="373"/>
      <c r="AA12" s="373"/>
      <c r="AB12" s="373"/>
      <c r="AC12" s="373"/>
      <c r="AD12" s="382"/>
    </row>
    <row r="13" spans="1:30" s="200" customFormat="1" ht="17.25" customHeight="1" thickBot="1" x14ac:dyDescent="0.25">
      <c r="A13" s="673"/>
      <c r="B13" s="383" t="s">
        <v>340</v>
      </c>
      <c r="C13" s="384" t="s">
        <v>341</v>
      </c>
      <c r="D13" s="385" t="s">
        <v>242</v>
      </c>
      <c r="E13" s="385" t="s">
        <v>242</v>
      </c>
      <c r="F13" s="385" t="s">
        <v>321</v>
      </c>
      <c r="G13" s="385"/>
      <c r="H13" s="385" t="s">
        <v>321</v>
      </c>
      <c r="I13" s="385"/>
      <c r="J13" s="385" t="s">
        <v>242</v>
      </c>
      <c r="K13" s="385" t="s">
        <v>321</v>
      </c>
      <c r="L13" s="385" t="s">
        <v>242</v>
      </c>
      <c r="M13" s="385" t="s">
        <v>321</v>
      </c>
      <c r="N13" s="385" t="s">
        <v>242</v>
      </c>
      <c r="O13" s="385" t="s">
        <v>242</v>
      </c>
      <c r="P13" s="385" t="s">
        <v>242</v>
      </c>
      <c r="Q13" s="385" t="s">
        <v>242</v>
      </c>
      <c r="R13" s="385" t="s">
        <v>242</v>
      </c>
      <c r="S13" s="385" t="s">
        <v>242</v>
      </c>
      <c r="T13" s="385" t="s">
        <v>242</v>
      </c>
      <c r="U13" s="385" t="s">
        <v>242</v>
      </c>
      <c r="V13" s="385" t="s">
        <v>242</v>
      </c>
      <c r="W13" s="385" t="s">
        <v>242</v>
      </c>
      <c r="X13" s="385" t="s">
        <v>242</v>
      </c>
      <c r="Y13" s="385" t="s">
        <v>242</v>
      </c>
      <c r="Z13" s="385" t="s">
        <v>242</v>
      </c>
      <c r="AA13" s="385" t="s">
        <v>242</v>
      </c>
      <c r="AB13" s="385" t="s">
        <v>242</v>
      </c>
      <c r="AC13" s="385" t="s">
        <v>242</v>
      </c>
      <c r="AD13" s="386" t="s">
        <v>242</v>
      </c>
    </row>
  </sheetData>
  <mergeCells count="1">
    <mergeCell ref="A3:A13"/>
  </mergeCells>
  <conditionalFormatting sqref="D3:AD13">
    <cfRule type="cellIs" dxfId="2" priority="1" operator="equal">
      <formula>""</formula>
    </cfRule>
  </conditionalFormatting>
  <hyperlinks>
    <hyperlink ref="C1" location="Inventory!A1" display="Inventory" xr:uid="{00000000-0004-0000-0D00-000000000000}"/>
  </hyperlinks>
  <pageMargins left="0.75" right="0.75" top="1" bottom="1" header="0.5" footer="0.5"/>
  <pageSetup paperSize="17" scale="43"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3"/>
  <sheetViews>
    <sheetView showGridLines="0" workbookViewId="0">
      <selection activeCell="H1" sqref="H1"/>
    </sheetView>
  </sheetViews>
  <sheetFormatPr defaultRowHeight="12.75" x14ac:dyDescent="0.2"/>
  <cols>
    <col min="1" max="1" width="50.140625" style="346" bestFit="1" customWidth="1"/>
    <col min="2" max="3" width="28.140625" style="346" bestFit="1" customWidth="1"/>
    <col min="4" max="5" width="27.28515625" style="346" bestFit="1" customWidth="1"/>
    <col min="6" max="6" width="37.42578125" style="346" bestFit="1" customWidth="1"/>
    <col min="7" max="7" width="36.5703125" style="346" bestFit="1" customWidth="1"/>
    <col min="8" max="16384" width="9.140625" style="346"/>
  </cols>
  <sheetData>
    <row r="1" spans="1:10" ht="15.75" x14ac:dyDescent="0.25">
      <c r="A1" s="597" t="s">
        <v>344</v>
      </c>
      <c r="B1" s="597" t="str">
        <f>A18</f>
        <v>EA-18G 5PAA CVW v220921</v>
      </c>
      <c r="C1" s="597" t="str">
        <f>A19</f>
        <v>EA-18G 7PAA CVW v220921</v>
      </c>
      <c r="D1" s="597" t="str">
        <f>A20</f>
        <v>EA-18G 5PAA EXP v220921</v>
      </c>
      <c r="E1" s="597" t="str">
        <f>A21</f>
        <v>EA-18G 6PAA EXP v220921</v>
      </c>
      <c r="F1" s="597" t="str">
        <f>A22</f>
        <v>EA-18G 5PAA RESERVE CVW v220921</v>
      </c>
      <c r="G1" s="597" t="str">
        <f>A23</f>
        <v>EA-18G 5PAA RESERVE EXP v220921</v>
      </c>
      <c r="H1" s="347" t="s">
        <v>63</v>
      </c>
      <c r="I1"/>
      <c r="J1" s="348">
        <v>44825</v>
      </c>
    </row>
    <row r="2" spans="1:10" x14ac:dyDescent="0.2">
      <c r="A2" s="372" t="s">
        <v>256</v>
      </c>
      <c r="B2" s="598">
        <f>(LARGE(_xlfn.UNIQUE(B3:B11),1)+LARGE(_xlfn.UNIQUE(B3:B11),2)+LARGE(_xlfn.UNIQUE(B3:B11),3))/3</f>
        <v>0.87842811486852879</v>
      </c>
      <c r="C2" s="598">
        <f t="shared" ref="C2:G2" si="0">(LARGE(_xlfn.UNIQUE(C3:C11),1)+LARGE(_xlfn.UNIQUE(C3:C11),2)+LARGE(_xlfn.UNIQUE(C3:C11),3))/3</f>
        <v>0.87842811486852901</v>
      </c>
      <c r="D2" s="598">
        <f t="shared" si="0"/>
        <v>0.89527359123637484</v>
      </c>
      <c r="E2" s="599">
        <f t="shared" si="0"/>
        <v>0.89527359123637484</v>
      </c>
      <c r="F2" s="598">
        <f t="shared" si="0"/>
        <v>0.84704885052324919</v>
      </c>
      <c r="G2" s="598">
        <f t="shared" si="0"/>
        <v>0.87848681449920907</v>
      </c>
    </row>
    <row r="3" spans="1:10" x14ac:dyDescent="0.2">
      <c r="A3" s="600" t="s">
        <v>165</v>
      </c>
      <c r="B3" s="598">
        <v>0.17640194425352435</v>
      </c>
      <c r="C3" s="598">
        <v>0.17640194425352435</v>
      </c>
      <c r="D3" s="598">
        <v>0.15053593775504651</v>
      </c>
      <c r="E3" s="598">
        <v>0.15053593775504651</v>
      </c>
      <c r="F3" s="598">
        <v>0.2276537063237638</v>
      </c>
      <c r="G3" s="598">
        <v>0.1803524740970272</v>
      </c>
    </row>
    <row r="4" spans="1:10" x14ac:dyDescent="0.2">
      <c r="A4" s="600" t="s">
        <v>167</v>
      </c>
      <c r="B4" s="598">
        <v>0.81168628885911076</v>
      </c>
      <c r="C4" s="598">
        <v>0.81168628885911109</v>
      </c>
      <c r="D4" s="598">
        <v>0.83635671146417101</v>
      </c>
      <c r="E4" s="598">
        <v>0.83635671146417101</v>
      </c>
      <c r="F4" s="598">
        <v>0.76880025789351136</v>
      </c>
      <c r="G4" s="598">
        <v>0.81581291759465469</v>
      </c>
    </row>
    <row r="5" spans="1:10" x14ac:dyDescent="0.2">
      <c r="A5" s="600" t="s">
        <v>168</v>
      </c>
      <c r="B5" s="598">
        <v>0.8235980557464756</v>
      </c>
      <c r="C5" s="598">
        <v>0.82359805574647593</v>
      </c>
      <c r="D5" s="598">
        <v>0.84946406224495341</v>
      </c>
      <c r="E5" s="598">
        <v>0.84946406224495341</v>
      </c>
      <c r="F5" s="598">
        <v>0.77234629367623608</v>
      </c>
      <c r="G5" s="598">
        <v>0.81964752590297263</v>
      </c>
    </row>
    <row r="6" spans="1:10" x14ac:dyDescent="0.2">
      <c r="A6" s="600" t="s">
        <v>170</v>
      </c>
      <c r="B6" s="598">
        <v>0.81168628885911076</v>
      </c>
      <c r="C6" s="598">
        <v>0.81168628885911109</v>
      </c>
      <c r="D6" s="598">
        <v>0.83635671146417101</v>
      </c>
      <c r="E6" s="598">
        <v>0.83635671146417101</v>
      </c>
      <c r="F6" s="598">
        <v>0.76880025789351136</v>
      </c>
      <c r="G6" s="598">
        <v>0.81581291759465469</v>
      </c>
    </row>
    <row r="7" spans="1:10" x14ac:dyDescent="0.2">
      <c r="A7" s="600" t="s">
        <v>171</v>
      </c>
      <c r="B7" s="598">
        <v>0.8235980557464756</v>
      </c>
      <c r="C7" s="598">
        <v>0.82359805574647593</v>
      </c>
      <c r="D7" s="598">
        <v>0.84946406224495341</v>
      </c>
      <c r="E7" s="598">
        <v>0.84946406224495341</v>
      </c>
      <c r="F7" s="598">
        <v>0.77234629367623608</v>
      </c>
      <c r="G7" s="598">
        <v>0.81964752590297263</v>
      </c>
    </row>
    <row r="8" spans="1:10" x14ac:dyDescent="0.2">
      <c r="A8" s="600" t="s">
        <v>173</v>
      </c>
      <c r="B8" s="598">
        <v>0.17640194425352435</v>
      </c>
      <c r="C8" s="598">
        <v>0.17640194425352435</v>
      </c>
      <c r="D8" s="598">
        <v>0.15053593775504651</v>
      </c>
      <c r="E8" s="598">
        <v>0.15053593775504651</v>
      </c>
      <c r="F8" s="598">
        <v>0.2276537063237638</v>
      </c>
      <c r="G8" s="598">
        <v>0.1803524740970272</v>
      </c>
    </row>
    <row r="9" spans="1:10" x14ac:dyDescent="0.2">
      <c r="A9" s="600" t="s">
        <v>174</v>
      </c>
      <c r="B9" s="598">
        <v>0.8235980557464756</v>
      </c>
      <c r="C9" s="598">
        <v>0.82359805574647593</v>
      </c>
      <c r="D9" s="598">
        <v>0.84946406224495341</v>
      </c>
      <c r="E9" s="598">
        <v>0.84946406224495341</v>
      </c>
      <c r="F9" s="598">
        <v>0.77234629367623608</v>
      </c>
      <c r="G9" s="598">
        <v>0.81964752590297263</v>
      </c>
    </row>
    <row r="10" spans="1:10" x14ac:dyDescent="0.2">
      <c r="A10" s="600" t="s">
        <v>176</v>
      </c>
      <c r="B10" s="598">
        <v>0.17640194425352435</v>
      </c>
      <c r="C10" s="598">
        <v>0.17640194425352435</v>
      </c>
      <c r="D10" s="598">
        <v>0.15053593775504651</v>
      </c>
      <c r="E10" s="598">
        <v>0.15053593775504651</v>
      </c>
      <c r="F10" s="598">
        <v>0.2276537063237638</v>
      </c>
      <c r="G10" s="598">
        <v>0.1803524740970272</v>
      </c>
    </row>
    <row r="11" spans="1:10" x14ac:dyDescent="0.2">
      <c r="A11" s="600" t="s">
        <v>177</v>
      </c>
      <c r="B11" s="598">
        <v>1</v>
      </c>
      <c r="C11" s="598">
        <v>1</v>
      </c>
      <c r="D11" s="598">
        <v>1</v>
      </c>
      <c r="E11" s="598">
        <v>1</v>
      </c>
      <c r="F11" s="598">
        <v>1</v>
      </c>
      <c r="G11" s="598">
        <v>1</v>
      </c>
    </row>
    <row r="17" spans="1:1" ht="15.75" x14ac:dyDescent="0.25">
      <c r="A17" s="597" t="s">
        <v>345</v>
      </c>
    </row>
    <row r="18" spans="1:1" x14ac:dyDescent="0.2">
      <c r="A18" s="601" t="s">
        <v>255</v>
      </c>
    </row>
    <row r="19" spans="1:1" x14ac:dyDescent="0.2">
      <c r="A19" s="601" t="s">
        <v>268</v>
      </c>
    </row>
    <row r="20" spans="1:1" x14ac:dyDescent="0.2">
      <c r="A20" s="601" t="s">
        <v>280</v>
      </c>
    </row>
    <row r="21" spans="1:1" x14ac:dyDescent="0.2">
      <c r="A21" s="601" t="s">
        <v>282</v>
      </c>
    </row>
    <row r="22" spans="1:1" x14ac:dyDescent="0.2">
      <c r="A22" s="601" t="s">
        <v>296</v>
      </c>
    </row>
    <row r="23" spans="1:1" x14ac:dyDescent="0.2">
      <c r="A23" s="601" t="s">
        <v>294</v>
      </c>
    </row>
  </sheetData>
  <conditionalFormatting sqref="B3:G11">
    <cfRule type="cellIs" dxfId="1" priority="2" operator="between">
      <formula>0.9</formula>
      <formula>0.99</formula>
    </cfRule>
  </conditionalFormatting>
  <conditionalFormatting sqref="B2:G2">
    <cfRule type="cellIs" dxfId="0" priority="1" operator="between">
      <formula>0.9</formula>
      <formula>0.99</formula>
    </cfRule>
  </conditionalFormatting>
  <hyperlinks>
    <hyperlink ref="H1" location="Inventory!A1" display="Inventory" xr:uid="{00000000-0004-0000-0E00-000000000000}"/>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99"/>
  <sheetViews>
    <sheetView showGridLines="0" workbookViewId="0">
      <selection activeCell="E2" sqref="E2"/>
    </sheetView>
  </sheetViews>
  <sheetFormatPr defaultColWidth="8.85546875" defaultRowHeight="12.75" x14ac:dyDescent="0.2"/>
  <cols>
    <col min="1" max="1" width="14.85546875" style="85" bestFit="1" customWidth="1"/>
    <col min="2" max="2" width="21" style="85" customWidth="1"/>
    <col min="3" max="3" width="55.42578125" style="85" bestFit="1" customWidth="1"/>
    <col min="4" max="4" width="78.85546875" style="84" customWidth="1"/>
    <col min="5" max="5" width="13.7109375" style="84" bestFit="1" customWidth="1"/>
    <col min="6" max="6" width="18.5703125" style="84" customWidth="1"/>
    <col min="7" max="7" width="7.42578125" style="84" customWidth="1"/>
    <col min="8" max="8" width="14.42578125" style="84" customWidth="1"/>
    <col min="9" max="256" width="8.85546875" style="85"/>
    <col min="257" max="257" width="14.85546875" style="85" bestFit="1" customWidth="1"/>
    <col min="258" max="258" width="21" style="85" customWidth="1"/>
    <col min="259" max="259" width="50.85546875" style="85" bestFit="1" customWidth="1"/>
    <col min="260" max="260" width="55.85546875" style="85" bestFit="1" customWidth="1"/>
    <col min="261" max="261" width="26.140625" style="85" customWidth="1"/>
    <col min="262" max="262" width="0" style="85" hidden="1" customWidth="1"/>
    <col min="263" max="263" width="7.42578125" style="85" customWidth="1"/>
    <col min="264" max="264" width="14.42578125" style="85" customWidth="1"/>
    <col min="265" max="512" width="8.85546875" style="85"/>
    <col min="513" max="513" width="14.85546875" style="85" bestFit="1" customWidth="1"/>
    <col min="514" max="514" width="21" style="85" customWidth="1"/>
    <col min="515" max="515" width="50.85546875" style="85" bestFit="1" customWidth="1"/>
    <col min="516" max="516" width="55.85546875" style="85" bestFit="1" customWidth="1"/>
    <col min="517" max="517" width="26.140625" style="85" customWidth="1"/>
    <col min="518" max="518" width="0" style="85" hidden="1" customWidth="1"/>
    <col min="519" max="519" width="7.42578125" style="85" customWidth="1"/>
    <col min="520" max="520" width="14.42578125" style="85" customWidth="1"/>
    <col min="521" max="768" width="8.85546875" style="85"/>
    <col min="769" max="769" width="14.85546875" style="85" bestFit="1" customWidth="1"/>
    <col min="770" max="770" width="21" style="85" customWidth="1"/>
    <col min="771" max="771" width="50.85546875" style="85" bestFit="1" customWidth="1"/>
    <col min="772" max="772" width="55.85546875" style="85" bestFit="1" customWidth="1"/>
    <col min="773" max="773" width="26.140625" style="85" customWidth="1"/>
    <col min="774" max="774" width="0" style="85" hidden="1" customWidth="1"/>
    <col min="775" max="775" width="7.42578125" style="85" customWidth="1"/>
    <col min="776" max="776" width="14.42578125" style="85" customWidth="1"/>
    <col min="777" max="1024" width="8.85546875" style="85"/>
    <col min="1025" max="1025" width="14.85546875" style="85" bestFit="1" customWidth="1"/>
    <col min="1026" max="1026" width="21" style="85" customWidth="1"/>
    <col min="1027" max="1027" width="50.85546875" style="85" bestFit="1" customWidth="1"/>
    <col min="1028" max="1028" width="55.85546875" style="85" bestFit="1" customWidth="1"/>
    <col min="1029" max="1029" width="26.140625" style="85" customWidth="1"/>
    <col min="1030" max="1030" width="0" style="85" hidden="1" customWidth="1"/>
    <col min="1031" max="1031" width="7.42578125" style="85" customWidth="1"/>
    <col min="1032" max="1032" width="14.42578125" style="85" customWidth="1"/>
    <col min="1033" max="1280" width="8.85546875" style="85"/>
    <col min="1281" max="1281" width="14.85546875" style="85" bestFit="1" customWidth="1"/>
    <col min="1282" max="1282" width="21" style="85" customWidth="1"/>
    <col min="1283" max="1283" width="50.85546875" style="85" bestFit="1" customWidth="1"/>
    <col min="1284" max="1284" width="55.85546875" style="85" bestFit="1" customWidth="1"/>
    <col min="1285" max="1285" width="26.140625" style="85" customWidth="1"/>
    <col min="1286" max="1286" width="0" style="85" hidden="1" customWidth="1"/>
    <col min="1287" max="1287" width="7.42578125" style="85" customWidth="1"/>
    <col min="1288" max="1288" width="14.42578125" style="85" customWidth="1"/>
    <col min="1289" max="1536" width="8.85546875" style="85"/>
    <col min="1537" max="1537" width="14.85546875" style="85" bestFit="1" customWidth="1"/>
    <col min="1538" max="1538" width="21" style="85" customWidth="1"/>
    <col min="1539" max="1539" width="50.85546875" style="85" bestFit="1" customWidth="1"/>
    <col min="1540" max="1540" width="55.85546875" style="85" bestFit="1" customWidth="1"/>
    <col min="1541" max="1541" width="26.140625" style="85" customWidth="1"/>
    <col min="1542" max="1542" width="0" style="85" hidden="1" customWidth="1"/>
    <col min="1543" max="1543" width="7.42578125" style="85" customWidth="1"/>
    <col min="1544" max="1544" width="14.42578125" style="85" customWidth="1"/>
    <col min="1545" max="1792" width="8.85546875" style="85"/>
    <col min="1793" max="1793" width="14.85546875" style="85" bestFit="1" customWidth="1"/>
    <col min="1794" max="1794" width="21" style="85" customWidth="1"/>
    <col min="1795" max="1795" width="50.85546875" style="85" bestFit="1" customWidth="1"/>
    <col min="1796" max="1796" width="55.85546875" style="85" bestFit="1" customWidth="1"/>
    <col min="1797" max="1797" width="26.140625" style="85" customWidth="1"/>
    <col min="1798" max="1798" width="0" style="85" hidden="1" customWidth="1"/>
    <col min="1799" max="1799" width="7.42578125" style="85" customWidth="1"/>
    <col min="1800" max="1800" width="14.42578125" style="85" customWidth="1"/>
    <col min="1801" max="2048" width="8.85546875" style="85"/>
    <col min="2049" max="2049" width="14.85546875" style="85" bestFit="1" customWidth="1"/>
    <col min="2050" max="2050" width="21" style="85" customWidth="1"/>
    <col min="2051" max="2051" width="50.85546875" style="85" bestFit="1" customWidth="1"/>
    <col min="2052" max="2052" width="55.85546875" style="85" bestFit="1" customWidth="1"/>
    <col min="2053" max="2053" width="26.140625" style="85" customWidth="1"/>
    <col min="2054" max="2054" width="0" style="85" hidden="1" customWidth="1"/>
    <col min="2055" max="2055" width="7.42578125" style="85" customWidth="1"/>
    <col min="2056" max="2056" width="14.42578125" style="85" customWidth="1"/>
    <col min="2057" max="2304" width="8.85546875" style="85"/>
    <col min="2305" max="2305" width="14.85546875" style="85" bestFit="1" customWidth="1"/>
    <col min="2306" max="2306" width="21" style="85" customWidth="1"/>
    <col min="2307" max="2307" width="50.85546875" style="85" bestFit="1" customWidth="1"/>
    <col min="2308" max="2308" width="55.85546875" style="85" bestFit="1" customWidth="1"/>
    <col min="2309" max="2309" width="26.140625" style="85" customWidth="1"/>
    <col min="2310" max="2310" width="0" style="85" hidden="1" customWidth="1"/>
    <col min="2311" max="2311" width="7.42578125" style="85" customWidth="1"/>
    <col min="2312" max="2312" width="14.42578125" style="85" customWidth="1"/>
    <col min="2313" max="2560" width="8.85546875" style="85"/>
    <col min="2561" max="2561" width="14.85546875" style="85" bestFit="1" customWidth="1"/>
    <col min="2562" max="2562" width="21" style="85" customWidth="1"/>
    <col min="2563" max="2563" width="50.85546875" style="85" bestFit="1" customWidth="1"/>
    <col min="2564" max="2564" width="55.85546875" style="85" bestFit="1" customWidth="1"/>
    <col min="2565" max="2565" width="26.140625" style="85" customWidth="1"/>
    <col min="2566" max="2566" width="0" style="85" hidden="1" customWidth="1"/>
    <col min="2567" max="2567" width="7.42578125" style="85" customWidth="1"/>
    <col min="2568" max="2568" width="14.42578125" style="85" customWidth="1"/>
    <col min="2569" max="2816" width="8.85546875" style="85"/>
    <col min="2817" max="2817" width="14.85546875" style="85" bestFit="1" customWidth="1"/>
    <col min="2818" max="2818" width="21" style="85" customWidth="1"/>
    <col min="2819" max="2819" width="50.85546875" style="85" bestFit="1" customWidth="1"/>
    <col min="2820" max="2820" width="55.85546875" style="85" bestFit="1" customWidth="1"/>
    <col min="2821" max="2821" width="26.140625" style="85" customWidth="1"/>
    <col min="2822" max="2822" width="0" style="85" hidden="1" customWidth="1"/>
    <col min="2823" max="2823" width="7.42578125" style="85" customWidth="1"/>
    <col min="2824" max="2824" width="14.42578125" style="85" customWidth="1"/>
    <col min="2825" max="3072" width="8.85546875" style="85"/>
    <col min="3073" max="3073" width="14.85546875" style="85" bestFit="1" customWidth="1"/>
    <col min="3074" max="3074" width="21" style="85" customWidth="1"/>
    <col min="3075" max="3075" width="50.85546875" style="85" bestFit="1" customWidth="1"/>
    <col min="3076" max="3076" width="55.85546875" style="85" bestFit="1" customWidth="1"/>
    <col min="3077" max="3077" width="26.140625" style="85" customWidth="1"/>
    <col min="3078" max="3078" width="0" style="85" hidden="1" customWidth="1"/>
    <col min="3079" max="3079" width="7.42578125" style="85" customWidth="1"/>
    <col min="3080" max="3080" width="14.42578125" style="85" customWidth="1"/>
    <col min="3081" max="3328" width="8.85546875" style="85"/>
    <col min="3329" max="3329" width="14.85546875" style="85" bestFit="1" customWidth="1"/>
    <col min="3330" max="3330" width="21" style="85" customWidth="1"/>
    <col min="3331" max="3331" width="50.85546875" style="85" bestFit="1" customWidth="1"/>
    <col min="3332" max="3332" width="55.85546875" style="85" bestFit="1" customWidth="1"/>
    <col min="3333" max="3333" width="26.140625" style="85" customWidth="1"/>
    <col min="3334" max="3334" width="0" style="85" hidden="1" customWidth="1"/>
    <col min="3335" max="3335" width="7.42578125" style="85" customWidth="1"/>
    <col min="3336" max="3336" width="14.42578125" style="85" customWidth="1"/>
    <col min="3337" max="3584" width="8.85546875" style="85"/>
    <col min="3585" max="3585" width="14.85546875" style="85" bestFit="1" customWidth="1"/>
    <col min="3586" max="3586" width="21" style="85" customWidth="1"/>
    <col min="3587" max="3587" width="50.85546875" style="85" bestFit="1" customWidth="1"/>
    <col min="3588" max="3588" width="55.85546875" style="85" bestFit="1" customWidth="1"/>
    <col min="3589" max="3589" width="26.140625" style="85" customWidth="1"/>
    <col min="3590" max="3590" width="0" style="85" hidden="1" customWidth="1"/>
    <col min="3591" max="3591" width="7.42578125" style="85" customWidth="1"/>
    <col min="3592" max="3592" width="14.42578125" style="85" customWidth="1"/>
    <col min="3593" max="3840" width="8.85546875" style="85"/>
    <col min="3841" max="3841" width="14.85546875" style="85" bestFit="1" customWidth="1"/>
    <col min="3842" max="3842" width="21" style="85" customWidth="1"/>
    <col min="3843" max="3843" width="50.85546875" style="85" bestFit="1" customWidth="1"/>
    <col min="3844" max="3844" width="55.85546875" style="85" bestFit="1" customWidth="1"/>
    <col min="3845" max="3845" width="26.140625" style="85" customWidth="1"/>
    <col min="3846" max="3846" width="0" style="85" hidden="1" customWidth="1"/>
    <col min="3847" max="3847" width="7.42578125" style="85" customWidth="1"/>
    <col min="3848" max="3848" width="14.42578125" style="85" customWidth="1"/>
    <col min="3849" max="4096" width="8.85546875" style="85"/>
    <col min="4097" max="4097" width="14.85546875" style="85" bestFit="1" customWidth="1"/>
    <col min="4098" max="4098" width="21" style="85" customWidth="1"/>
    <col min="4099" max="4099" width="50.85546875" style="85" bestFit="1" customWidth="1"/>
    <col min="4100" max="4100" width="55.85546875" style="85" bestFit="1" customWidth="1"/>
    <col min="4101" max="4101" width="26.140625" style="85" customWidth="1"/>
    <col min="4102" max="4102" width="0" style="85" hidden="1" customWidth="1"/>
    <col min="4103" max="4103" width="7.42578125" style="85" customWidth="1"/>
    <col min="4104" max="4104" width="14.42578125" style="85" customWidth="1"/>
    <col min="4105" max="4352" width="8.85546875" style="85"/>
    <col min="4353" max="4353" width="14.85546875" style="85" bestFit="1" customWidth="1"/>
    <col min="4354" max="4354" width="21" style="85" customWidth="1"/>
    <col min="4355" max="4355" width="50.85546875" style="85" bestFit="1" customWidth="1"/>
    <col min="4356" max="4356" width="55.85546875" style="85" bestFit="1" customWidth="1"/>
    <col min="4357" max="4357" width="26.140625" style="85" customWidth="1"/>
    <col min="4358" max="4358" width="0" style="85" hidden="1" customWidth="1"/>
    <col min="4359" max="4359" width="7.42578125" style="85" customWidth="1"/>
    <col min="4360" max="4360" width="14.42578125" style="85" customWidth="1"/>
    <col min="4361" max="4608" width="8.85546875" style="85"/>
    <col min="4609" max="4609" width="14.85546875" style="85" bestFit="1" customWidth="1"/>
    <col min="4610" max="4610" width="21" style="85" customWidth="1"/>
    <col min="4611" max="4611" width="50.85546875" style="85" bestFit="1" customWidth="1"/>
    <col min="4612" max="4612" width="55.85546875" style="85" bestFit="1" customWidth="1"/>
    <col min="4613" max="4613" width="26.140625" style="85" customWidth="1"/>
    <col min="4614" max="4614" width="0" style="85" hidden="1" customWidth="1"/>
    <col min="4615" max="4615" width="7.42578125" style="85" customWidth="1"/>
    <col min="4616" max="4616" width="14.42578125" style="85" customWidth="1"/>
    <col min="4617" max="4864" width="8.85546875" style="85"/>
    <col min="4865" max="4865" width="14.85546875" style="85" bestFit="1" customWidth="1"/>
    <col min="4866" max="4866" width="21" style="85" customWidth="1"/>
    <col min="4867" max="4867" width="50.85546875" style="85" bestFit="1" customWidth="1"/>
    <col min="4868" max="4868" width="55.85546875" style="85" bestFit="1" customWidth="1"/>
    <col min="4869" max="4869" width="26.140625" style="85" customWidth="1"/>
    <col min="4870" max="4870" width="0" style="85" hidden="1" customWidth="1"/>
    <col min="4871" max="4871" width="7.42578125" style="85" customWidth="1"/>
    <col min="4872" max="4872" width="14.42578125" style="85" customWidth="1"/>
    <col min="4873" max="5120" width="8.85546875" style="85"/>
    <col min="5121" max="5121" width="14.85546875" style="85" bestFit="1" customWidth="1"/>
    <col min="5122" max="5122" width="21" style="85" customWidth="1"/>
    <col min="5123" max="5123" width="50.85546875" style="85" bestFit="1" customWidth="1"/>
    <col min="5124" max="5124" width="55.85546875" style="85" bestFit="1" customWidth="1"/>
    <col min="5125" max="5125" width="26.140625" style="85" customWidth="1"/>
    <col min="5126" max="5126" width="0" style="85" hidden="1" customWidth="1"/>
    <col min="5127" max="5127" width="7.42578125" style="85" customWidth="1"/>
    <col min="5128" max="5128" width="14.42578125" style="85" customWidth="1"/>
    <col min="5129" max="5376" width="8.85546875" style="85"/>
    <col min="5377" max="5377" width="14.85546875" style="85" bestFit="1" customWidth="1"/>
    <col min="5378" max="5378" width="21" style="85" customWidth="1"/>
    <col min="5379" max="5379" width="50.85546875" style="85" bestFit="1" customWidth="1"/>
    <col min="5380" max="5380" width="55.85546875" style="85" bestFit="1" customWidth="1"/>
    <col min="5381" max="5381" width="26.140625" style="85" customWidth="1"/>
    <col min="5382" max="5382" width="0" style="85" hidden="1" customWidth="1"/>
    <col min="5383" max="5383" width="7.42578125" style="85" customWidth="1"/>
    <col min="5384" max="5384" width="14.42578125" style="85" customWidth="1"/>
    <col min="5385" max="5632" width="8.85546875" style="85"/>
    <col min="5633" max="5633" width="14.85546875" style="85" bestFit="1" customWidth="1"/>
    <col min="5634" max="5634" width="21" style="85" customWidth="1"/>
    <col min="5635" max="5635" width="50.85546875" style="85" bestFit="1" customWidth="1"/>
    <col min="5636" max="5636" width="55.85546875" style="85" bestFit="1" customWidth="1"/>
    <col min="5637" max="5637" width="26.140625" style="85" customWidth="1"/>
    <col min="5638" max="5638" width="0" style="85" hidden="1" customWidth="1"/>
    <col min="5639" max="5639" width="7.42578125" style="85" customWidth="1"/>
    <col min="5640" max="5640" width="14.42578125" style="85" customWidth="1"/>
    <col min="5641" max="5888" width="8.85546875" style="85"/>
    <col min="5889" max="5889" width="14.85546875" style="85" bestFit="1" customWidth="1"/>
    <col min="5890" max="5890" width="21" style="85" customWidth="1"/>
    <col min="5891" max="5891" width="50.85546875" style="85" bestFit="1" customWidth="1"/>
    <col min="5892" max="5892" width="55.85546875" style="85" bestFit="1" customWidth="1"/>
    <col min="5893" max="5893" width="26.140625" style="85" customWidth="1"/>
    <col min="5894" max="5894" width="0" style="85" hidden="1" customWidth="1"/>
    <col min="5895" max="5895" width="7.42578125" style="85" customWidth="1"/>
    <col min="5896" max="5896" width="14.42578125" style="85" customWidth="1"/>
    <col min="5897" max="6144" width="8.85546875" style="85"/>
    <col min="6145" max="6145" width="14.85546875" style="85" bestFit="1" customWidth="1"/>
    <col min="6146" max="6146" width="21" style="85" customWidth="1"/>
    <col min="6147" max="6147" width="50.85546875" style="85" bestFit="1" customWidth="1"/>
    <col min="6148" max="6148" width="55.85546875" style="85" bestFit="1" customWidth="1"/>
    <col min="6149" max="6149" width="26.140625" style="85" customWidth="1"/>
    <col min="6150" max="6150" width="0" style="85" hidden="1" customWidth="1"/>
    <col min="6151" max="6151" width="7.42578125" style="85" customWidth="1"/>
    <col min="6152" max="6152" width="14.42578125" style="85" customWidth="1"/>
    <col min="6153" max="6400" width="8.85546875" style="85"/>
    <col min="6401" max="6401" width="14.85546875" style="85" bestFit="1" customWidth="1"/>
    <col min="6402" max="6402" width="21" style="85" customWidth="1"/>
    <col min="6403" max="6403" width="50.85546875" style="85" bestFit="1" customWidth="1"/>
    <col min="6404" max="6404" width="55.85546875" style="85" bestFit="1" customWidth="1"/>
    <col min="6405" max="6405" width="26.140625" style="85" customWidth="1"/>
    <col min="6406" max="6406" width="0" style="85" hidden="1" customWidth="1"/>
    <col min="6407" max="6407" width="7.42578125" style="85" customWidth="1"/>
    <col min="6408" max="6408" width="14.42578125" style="85" customWidth="1"/>
    <col min="6409" max="6656" width="8.85546875" style="85"/>
    <col min="6657" max="6657" width="14.85546875" style="85" bestFit="1" customWidth="1"/>
    <col min="6658" max="6658" width="21" style="85" customWidth="1"/>
    <col min="6659" max="6659" width="50.85546875" style="85" bestFit="1" customWidth="1"/>
    <col min="6660" max="6660" width="55.85546875" style="85" bestFit="1" customWidth="1"/>
    <col min="6661" max="6661" width="26.140625" style="85" customWidth="1"/>
    <col min="6662" max="6662" width="0" style="85" hidden="1" customWidth="1"/>
    <col min="6663" max="6663" width="7.42578125" style="85" customWidth="1"/>
    <col min="6664" max="6664" width="14.42578125" style="85" customWidth="1"/>
    <col min="6665" max="6912" width="8.85546875" style="85"/>
    <col min="6913" max="6913" width="14.85546875" style="85" bestFit="1" customWidth="1"/>
    <col min="6914" max="6914" width="21" style="85" customWidth="1"/>
    <col min="6915" max="6915" width="50.85546875" style="85" bestFit="1" customWidth="1"/>
    <col min="6916" max="6916" width="55.85546875" style="85" bestFit="1" customWidth="1"/>
    <col min="6917" max="6917" width="26.140625" style="85" customWidth="1"/>
    <col min="6918" max="6918" width="0" style="85" hidden="1" customWidth="1"/>
    <col min="6919" max="6919" width="7.42578125" style="85" customWidth="1"/>
    <col min="6920" max="6920" width="14.42578125" style="85" customWidth="1"/>
    <col min="6921" max="7168" width="8.85546875" style="85"/>
    <col min="7169" max="7169" width="14.85546875" style="85" bestFit="1" customWidth="1"/>
    <col min="7170" max="7170" width="21" style="85" customWidth="1"/>
    <col min="7171" max="7171" width="50.85546875" style="85" bestFit="1" customWidth="1"/>
    <col min="7172" max="7172" width="55.85546875" style="85" bestFit="1" customWidth="1"/>
    <col min="7173" max="7173" width="26.140625" style="85" customWidth="1"/>
    <col min="7174" max="7174" width="0" style="85" hidden="1" customWidth="1"/>
    <col min="7175" max="7175" width="7.42578125" style="85" customWidth="1"/>
    <col min="7176" max="7176" width="14.42578125" style="85" customWidth="1"/>
    <col min="7177" max="7424" width="8.85546875" style="85"/>
    <col min="7425" max="7425" width="14.85546875" style="85" bestFit="1" customWidth="1"/>
    <col min="7426" max="7426" width="21" style="85" customWidth="1"/>
    <col min="7427" max="7427" width="50.85546875" style="85" bestFit="1" customWidth="1"/>
    <col min="7428" max="7428" width="55.85546875" style="85" bestFit="1" customWidth="1"/>
    <col min="7429" max="7429" width="26.140625" style="85" customWidth="1"/>
    <col min="7430" max="7430" width="0" style="85" hidden="1" customWidth="1"/>
    <col min="7431" max="7431" width="7.42578125" style="85" customWidth="1"/>
    <col min="7432" max="7432" width="14.42578125" style="85" customWidth="1"/>
    <col min="7433" max="7680" width="8.85546875" style="85"/>
    <col min="7681" max="7681" width="14.85546875" style="85" bestFit="1" customWidth="1"/>
    <col min="7682" max="7682" width="21" style="85" customWidth="1"/>
    <col min="7683" max="7683" width="50.85546875" style="85" bestFit="1" customWidth="1"/>
    <col min="7684" max="7684" width="55.85546875" style="85" bestFit="1" customWidth="1"/>
    <col min="7685" max="7685" width="26.140625" style="85" customWidth="1"/>
    <col min="7686" max="7686" width="0" style="85" hidden="1" customWidth="1"/>
    <col min="7687" max="7687" width="7.42578125" style="85" customWidth="1"/>
    <col min="7688" max="7688" width="14.42578125" style="85" customWidth="1"/>
    <col min="7689" max="7936" width="8.85546875" style="85"/>
    <col min="7937" max="7937" width="14.85546875" style="85" bestFit="1" customWidth="1"/>
    <col min="7938" max="7938" width="21" style="85" customWidth="1"/>
    <col min="7939" max="7939" width="50.85546875" style="85" bestFit="1" customWidth="1"/>
    <col min="7940" max="7940" width="55.85546875" style="85" bestFit="1" customWidth="1"/>
    <col min="7941" max="7941" width="26.140625" style="85" customWidth="1"/>
    <col min="7942" max="7942" width="0" style="85" hidden="1" customWidth="1"/>
    <col min="7943" max="7943" width="7.42578125" style="85" customWidth="1"/>
    <col min="7944" max="7944" width="14.42578125" style="85" customWidth="1"/>
    <col min="7945" max="8192" width="8.85546875" style="85"/>
    <col min="8193" max="8193" width="14.85546875" style="85" bestFit="1" customWidth="1"/>
    <col min="8194" max="8194" width="21" style="85" customWidth="1"/>
    <col min="8195" max="8195" width="50.85546875" style="85" bestFit="1" customWidth="1"/>
    <col min="8196" max="8196" width="55.85546875" style="85" bestFit="1" customWidth="1"/>
    <col min="8197" max="8197" width="26.140625" style="85" customWidth="1"/>
    <col min="8198" max="8198" width="0" style="85" hidden="1" customWidth="1"/>
    <col min="8199" max="8199" width="7.42578125" style="85" customWidth="1"/>
    <col min="8200" max="8200" width="14.42578125" style="85" customWidth="1"/>
    <col min="8201" max="8448" width="8.85546875" style="85"/>
    <col min="8449" max="8449" width="14.85546875" style="85" bestFit="1" customWidth="1"/>
    <col min="8450" max="8450" width="21" style="85" customWidth="1"/>
    <col min="8451" max="8451" width="50.85546875" style="85" bestFit="1" customWidth="1"/>
    <col min="8452" max="8452" width="55.85546875" style="85" bestFit="1" customWidth="1"/>
    <col min="8453" max="8453" width="26.140625" style="85" customWidth="1"/>
    <col min="8454" max="8454" width="0" style="85" hidden="1" customWidth="1"/>
    <col min="8455" max="8455" width="7.42578125" style="85" customWidth="1"/>
    <col min="8456" max="8456" width="14.42578125" style="85" customWidth="1"/>
    <col min="8457" max="8704" width="8.85546875" style="85"/>
    <col min="8705" max="8705" width="14.85546875" style="85" bestFit="1" customWidth="1"/>
    <col min="8706" max="8706" width="21" style="85" customWidth="1"/>
    <col min="8707" max="8707" width="50.85546875" style="85" bestFit="1" customWidth="1"/>
    <col min="8708" max="8708" width="55.85546875" style="85" bestFit="1" customWidth="1"/>
    <col min="8709" max="8709" width="26.140625" style="85" customWidth="1"/>
    <col min="8710" max="8710" width="0" style="85" hidden="1" customWidth="1"/>
    <col min="8711" max="8711" width="7.42578125" style="85" customWidth="1"/>
    <col min="8712" max="8712" width="14.42578125" style="85" customWidth="1"/>
    <col min="8713" max="8960" width="8.85546875" style="85"/>
    <col min="8961" max="8961" width="14.85546875" style="85" bestFit="1" customWidth="1"/>
    <col min="8962" max="8962" width="21" style="85" customWidth="1"/>
    <col min="8963" max="8963" width="50.85546875" style="85" bestFit="1" customWidth="1"/>
    <col min="8964" max="8964" width="55.85546875" style="85" bestFit="1" customWidth="1"/>
    <col min="8965" max="8965" width="26.140625" style="85" customWidth="1"/>
    <col min="8966" max="8966" width="0" style="85" hidden="1" customWidth="1"/>
    <col min="8967" max="8967" width="7.42578125" style="85" customWidth="1"/>
    <col min="8968" max="8968" width="14.42578125" style="85" customWidth="1"/>
    <col min="8969" max="9216" width="8.85546875" style="85"/>
    <col min="9217" max="9217" width="14.85546875" style="85" bestFit="1" customWidth="1"/>
    <col min="9218" max="9218" width="21" style="85" customWidth="1"/>
    <col min="9219" max="9219" width="50.85546875" style="85" bestFit="1" customWidth="1"/>
    <col min="9220" max="9220" width="55.85546875" style="85" bestFit="1" customWidth="1"/>
    <col min="9221" max="9221" width="26.140625" style="85" customWidth="1"/>
    <col min="9222" max="9222" width="0" style="85" hidden="1" customWidth="1"/>
    <col min="9223" max="9223" width="7.42578125" style="85" customWidth="1"/>
    <col min="9224" max="9224" width="14.42578125" style="85" customWidth="1"/>
    <col min="9225" max="9472" width="8.85546875" style="85"/>
    <col min="9473" max="9473" width="14.85546875" style="85" bestFit="1" customWidth="1"/>
    <col min="9474" max="9474" width="21" style="85" customWidth="1"/>
    <col min="9475" max="9475" width="50.85546875" style="85" bestFit="1" customWidth="1"/>
    <col min="9476" max="9476" width="55.85546875" style="85" bestFit="1" customWidth="1"/>
    <col min="9477" max="9477" width="26.140625" style="85" customWidth="1"/>
    <col min="9478" max="9478" width="0" style="85" hidden="1" customWidth="1"/>
    <col min="9479" max="9479" width="7.42578125" style="85" customWidth="1"/>
    <col min="9480" max="9480" width="14.42578125" style="85" customWidth="1"/>
    <col min="9481" max="9728" width="8.85546875" style="85"/>
    <col min="9729" max="9729" width="14.85546875" style="85" bestFit="1" customWidth="1"/>
    <col min="9730" max="9730" width="21" style="85" customWidth="1"/>
    <col min="9731" max="9731" width="50.85546875" style="85" bestFit="1" customWidth="1"/>
    <col min="9732" max="9732" width="55.85546875" style="85" bestFit="1" customWidth="1"/>
    <col min="9733" max="9733" width="26.140625" style="85" customWidth="1"/>
    <col min="9734" max="9734" width="0" style="85" hidden="1" customWidth="1"/>
    <col min="9735" max="9735" width="7.42578125" style="85" customWidth="1"/>
    <col min="9736" max="9736" width="14.42578125" style="85" customWidth="1"/>
    <col min="9737" max="9984" width="8.85546875" style="85"/>
    <col min="9985" max="9985" width="14.85546875" style="85" bestFit="1" customWidth="1"/>
    <col min="9986" max="9986" width="21" style="85" customWidth="1"/>
    <col min="9987" max="9987" width="50.85546875" style="85" bestFit="1" customWidth="1"/>
    <col min="9988" max="9988" width="55.85546875" style="85" bestFit="1" customWidth="1"/>
    <col min="9989" max="9989" width="26.140625" style="85" customWidth="1"/>
    <col min="9990" max="9990" width="0" style="85" hidden="1" customWidth="1"/>
    <col min="9991" max="9991" width="7.42578125" style="85" customWidth="1"/>
    <col min="9992" max="9992" width="14.42578125" style="85" customWidth="1"/>
    <col min="9993" max="10240" width="8.85546875" style="85"/>
    <col min="10241" max="10241" width="14.85546875" style="85" bestFit="1" customWidth="1"/>
    <col min="10242" max="10242" width="21" style="85" customWidth="1"/>
    <col min="10243" max="10243" width="50.85546875" style="85" bestFit="1" customWidth="1"/>
    <col min="10244" max="10244" width="55.85546875" style="85" bestFit="1" customWidth="1"/>
    <col min="10245" max="10245" width="26.140625" style="85" customWidth="1"/>
    <col min="10246" max="10246" width="0" style="85" hidden="1" customWidth="1"/>
    <col min="10247" max="10247" width="7.42578125" style="85" customWidth="1"/>
    <col min="10248" max="10248" width="14.42578125" style="85" customWidth="1"/>
    <col min="10249" max="10496" width="8.85546875" style="85"/>
    <col min="10497" max="10497" width="14.85546875" style="85" bestFit="1" customWidth="1"/>
    <col min="10498" max="10498" width="21" style="85" customWidth="1"/>
    <col min="10499" max="10499" width="50.85546875" style="85" bestFit="1" customWidth="1"/>
    <col min="10500" max="10500" width="55.85546875" style="85" bestFit="1" customWidth="1"/>
    <col min="10501" max="10501" width="26.140625" style="85" customWidth="1"/>
    <col min="10502" max="10502" width="0" style="85" hidden="1" customWidth="1"/>
    <col min="10503" max="10503" width="7.42578125" style="85" customWidth="1"/>
    <col min="10504" max="10504" width="14.42578125" style="85" customWidth="1"/>
    <col min="10505" max="10752" width="8.85546875" style="85"/>
    <col min="10753" max="10753" width="14.85546875" style="85" bestFit="1" customWidth="1"/>
    <col min="10754" max="10754" width="21" style="85" customWidth="1"/>
    <col min="10755" max="10755" width="50.85546875" style="85" bestFit="1" customWidth="1"/>
    <col min="10756" max="10756" width="55.85546875" style="85" bestFit="1" customWidth="1"/>
    <col min="10757" max="10757" width="26.140625" style="85" customWidth="1"/>
    <col min="10758" max="10758" width="0" style="85" hidden="1" customWidth="1"/>
    <col min="10759" max="10759" width="7.42578125" style="85" customWidth="1"/>
    <col min="10760" max="10760" width="14.42578125" style="85" customWidth="1"/>
    <col min="10761" max="11008" width="8.85546875" style="85"/>
    <col min="11009" max="11009" width="14.85546875" style="85" bestFit="1" customWidth="1"/>
    <col min="11010" max="11010" width="21" style="85" customWidth="1"/>
    <col min="11011" max="11011" width="50.85546875" style="85" bestFit="1" customWidth="1"/>
    <col min="11012" max="11012" width="55.85546875" style="85" bestFit="1" customWidth="1"/>
    <col min="11013" max="11013" width="26.140625" style="85" customWidth="1"/>
    <col min="11014" max="11014" width="0" style="85" hidden="1" customWidth="1"/>
    <col min="11015" max="11015" width="7.42578125" style="85" customWidth="1"/>
    <col min="11016" max="11016" width="14.42578125" style="85" customWidth="1"/>
    <col min="11017" max="11264" width="8.85546875" style="85"/>
    <col min="11265" max="11265" width="14.85546875" style="85" bestFit="1" customWidth="1"/>
    <col min="11266" max="11266" width="21" style="85" customWidth="1"/>
    <col min="11267" max="11267" width="50.85546875" style="85" bestFit="1" customWidth="1"/>
    <col min="11268" max="11268" width="55.85546875" style="85" bestFit="1" customWidth="1"/>
    <col min="11269" max="11269" width="26.140625" style="85" customWidth="1"/>
    <col min="11270" max="11270" width="0" style="85" hidden="1" customWidth="1"/>
    <col min="11271" max="11271" width="7.42578125" style="85" customWidth="1"/>
    <col min="11272" max="11272" width="14.42578125" style="85" customWidth="1"/>
    <col min="11273" max="11520" width="8.85546875" style="85"/>
    <col min="11521" max="11521" width="14.85546875" style="85" bestFit="1" customWidth="1"/>
    <col min="11522" max="11522" width="21" style="85" customWidth="1"/>
    <col min="11523" max="11523" width="50.85546875" style="85" bestFit="1" customWidth="1"/>
    <col min="11524" max="11524" width="55.85546875" style="85" bestFit="1" customWidth="1"/>
    <col min="11525" max="11525" width="26.140625" style="85" customWidth="1"/>
    <col min="11526" max="11526" width="0" style="85" hidden="1" customWidth="1"/>
    <col min="11527" max="11527" width="7.42578125" style="85" customWidth="1"/>
    <col min="11528" max="11528" width="14.42578125" style="85" customWidth="1"/>
    <col min="11529" max="11776" width="8.85546875" style="85"/>
    <col min="11777" max="11777" width="14.85546875" style="85" bestFit="1" customWidth="1"/>
    <col min="11778" max="11778" width="21" style="85" customWidth="1"/>
    <col min="11779" max="11779" width="50.85546875" style="85" bestFit="1" customWidth="1"/>
    <col min="11780" max="11780" width="55.85546875" style="85" bestFit="1" customWidth="1"/>
    <col min="11781" max="11781" width="26.140625" style="85" customWidth="1"/>
    <col min="11782" max="11782" width="0" style="85" hidden="1" customWidth="1"/>
    <col min="11783" max="11783" width="7.42578125" style="85" customWidth="1"/>
    <col min="11784" max="11784" width="14.42578125" style="85" customWidth="1"/>
    <col min="11785" max="12032" width="8.85546875" style="85"/>
    <col min="12033" max="12033" width="14.85546875" style="85" bestFit="1" customWidth="1"/>
    <col min="12034" max="12034" width="21" style="85" customWidth="1"/>
    <col min="12035" max="12035" width="50.85546875" style="85" bestFit="1" customWidth="1"/>
    <col min="12036" max="12036" width="55.85546875" style="85" bestFit="1" customWidth="1"/>
    <col min="12037" max="12037" width="26.140625" style="85" customWidth="1"/>
    <col min="12038" max="12038" width="0" style="85" hidden="1" customWidth="1"/>
    <col min="12039" max="12039" width="7.42578125" style="85" customWidth="1"/>
    <col min="12040" max="12040" width="14.42578125" style="85" customWidth="1"/>
    <col min="12041" max="12288" width="8.85546875" style="85"/>
    <col min="12289" max="12289" width="14.85546875" style="85" bestFit="1" customWidth="1"/>
    <col min="12290" max="12290" width="21" style="85" customWidth="1"/>
    <col min="12291" max="12291" width="50.85546875" style="85" bestFit="1" customWidth="1"/>
    <col min="12292" max="12292" width="55.85546875" style="85" bestFit="1" customWidth="1"/>
    <col min="12293" max="12293" width="26.140625" style="85" customWidth="1"/>
    <col min="12294" max="12294" width="0" style="85" hidden="1" customWidth="1"/>
    <col min="12295" max="12295" width="7.42578125" style="85" customWidth="1"/>
    <col min="12296" max="12296" width="14.42578125" style="85" customWidth="1"/>
    <col min="12297" max="12544" width="8.85546875" style="85"/>
    <col min="12545" max="12545" width="14.85546875" style="85" bestFit="1" customWidth="1"/>
    <col min="12546" max="12546" width="21" style="85" customWidth="1"/>
    <col min="12547" max="12547" width="50.85546875" style="85" bestFit="1" customWidth="1"/>
    <col min="12548" max="12548" width="55.85546875" style="85" bestFit="1" customWidth="1"/>
    <col min="12549" max="12549" width="26.140625" style="85" customWidth="1"/>
    <col min="12550" max="12550" width="0" style="85" hidden="1" customWidth="1"/>
    <col min="12551" max="12551" width="7.42578125" style="85" customWidth="1"/>
    <col min="12552" max="12552" width="14.42578125" style="85" customWidth="1"/>
    <col min="12553" max="12800" width="8.85546875" style="85"/>
    <col min="12801" max="12801" width="14.85546875" style="85" bestFit="1" customWidth="1"/>
    <col min="12802" max="12802" width="21" style="85" customWidth="1"/>
    <col min="12803" max="12803" width="50.85546875" style="85" bestFit="1" customWidth="1"/>
    <col min="12804" max="12804" width="55.85546875" style="85" bestFit="1" customWidth="1"/>
    <col min="12805" max="12805" width="26.140625" style="85" customWidth="1"/>
    <col min="12806" max="12806" width="0" style="85" hidden="1" customWidth="1"/>
    <col min="12807" max="12807" width="7.42578125" style="85" customWidth="1"/>
    <col min="12808" max="12808" width="14.42578125" style="85" customWidth="1"/>
    <col min="12809" max="13056" width="8.85546875" style="85"/>
    <col min="13057" max="13057" width="14.85546875" style="85" bestFit="1" customWidth="1"/>
    <col min="13058" max="13058" width="21" style="85" customWidth="1"/>
    <col min="13059" max="13059" width="50.85546875" style="85" bestFit="1" customWidth="1"/>
    <col min="13060" max="13060" width="55.85546875" style="85" bestFit="1" customWidth="1"/>
    <col min="13061" max="13061" width="26.140625" style="85" customWidth="1"/>
    <col min="13062" max="13062" width="0" style="85" hidden="1" customWidth="1"/>
    <col min="13063" max="13063" width="7.42578125" style="85" customWidth="1"/>
    <col min="13064" max="13064" width="14.42578125" style="85" customWidth="1"/>
    <col min="13065" max="13312" width="8.85546875" style="85"/>
    <col min="13313" max="13313" width="14.85546875" style="85" bestFit="1" customWidth="1"/>
    <col min="13314" max="13314" width="21" style="85" customWidth="1"/>
    <col min="13315" max="13315" width="50.85546875" style="85" bestFit="1" customWidth="1"/>
    <col min="13316" max="13316" width="55.85546875" style="85" bestFit="1" customWidth="1"/>
    <col min="13317" max="13317" width="26.140625" style="85" customWidth="1"/>
    <col min="13318" max="13318" width="0" style="85" hidden="1" customWidth="1"/>
    <col min="13319" max="13319" width="7.42578125" style="85" customWidth="1"/>
    <col min="13320" max="13320" width="14.42578125" style="85" customWidth="1"/>
    <col min="13321" max="13568" width="8.85546875" style="85"/>
    <col min="13569" max="13569" width="14.85546875" style="85" bestFit="1" customWidth="1"/>
    <col min="13570" max="13570" width="21" style="85" customWidth="1"/>
    <col min="13571" max="13571" width="50.85546875" style="85" bestFit="1" customWidth="1"/>
    <col min="13572" max="13572" width="55.85546875" style="85" bestFit="1" customWidth="1"/>
    <col min="13573" max="13573" width="26.140625" style="85" customWidth="1"/>
    <col min="13574" max="13574" width="0" style="85" hidden="1" customWidth="1"/>
    <col min="13575" max="13575" width="7.42578125" style="85" customWidth="1"/>
    <col min="13576" max="13576" width="14.42578125" style="85" customWidth="1"/>
    <col min="13577" max="13824" width="8.85546875" style="85"/>
    <col min="13825" max="13825" width="14.85546875" style="85" bestFit="1" customWidth="1"/>
    <col min="13826" max="13826" width="21" style="85" customWidth="1"/>
    <col min="13827" max="13827" width="50.85546875" style="85" bestFit="1" customWidth="1"/>
    <col min="13828" max="13828" width="55.85546875" style="85" bestFit="1" customWidth="1"/>
    <col min="13829" max="13829" width="26.140625" style="85" customWidth="1"/>
    <col min="13830" max="13830" width="0" style="85" hidden="1" customWidth="1"/>
    <col min="13831" max="13831" width="7.42578125" style="85" customWidth="1"/>
    <col min="13832" max="13832" width="14.42578125" style="85" customWidth="1"/>
    <col min="13833" max="14080" width="8.85546875" style="85"/>
    <col min="14081" max="14081" width="14.85546875" style="85" bestFit="1" customWidth="1"/>
    <col min="14082" max="14082" width="21" style="85" customWidth="1"/>
    <col min="14083" max="14083" width="50.85546875" style="85" bestFit="1" customWidth="1"/>
    <col min="14084" max="14084" width="55.85546875" style="85" bestFit="1" customWidth="1"/>
    <col min="14085" max="14085" width="26.140625" style="85" customWidth="1"/>
    <col min="14086" max="14086" width="0" style="85" hidden="1" customWidth="1"/>
    <col min="14087" max="14087" width="7.42578125" style="85" customWidth="1"/>
    <col min="14088" max="14088" width="14.42578125" style="85" customWidth="1"/>
    <col min="14089" max="14336" width="8.85546875" style="85"/>
    <col min="14337" max="14337" width="14.85546875" style="85" bestFit="1" customWidth="1"/>
    <col min="14338" max="14338" width="21" style="85" customWidth="1"/>
    <col min="14339" max="14339" width="50.85546875" style="85" bestFit="1" customWidth="1"/>
    <col min="14340" max="14340" width="55.85546875" style="85" bestFit="1" customWidth="1"/>
    <col min="14341" max="14341" width="26.140625" style="85" customWidth="1"/>
    <col min="14342" max="14342" width="0" style="85" hidden="1" customWidth="1"/>
    <col min="14343" max="14343" width="7.42578125" style="85" customWidth="1"/>
    <col min="14344" max="14344" width="14.42578125" style="85" customWidth="1"/>
    <col min="14345" max="14592" width="8.85546875" style="85"/>
    <col min="14593" max="14593" width="14.85546875" style="85" bestFit="1" customWidth="1"/>
    <col min="14594" max="14594" width="21" style="85" customWidth="1"/>
    <col min="14595" max="14595" width="50.85546875" style="85" bestFit="1" customWidth="1"/>
    <col min="14596" max="14596" width="55.85546875" style="85" bestFit="1" customWidth="1"/>
    <col min="14597" max="14597" width="26.140625" style="85" customWidth="1"/>
    <col min="14598" max="14598" width="0" style="85" hidden="1" customWidth="1"/>
    <col min="14599" max="14599" width="7.42578125" style="85" customWidth="1"/>
    <col min="14600" max="14600" width="14.42578125" style="85" customWidth="1"/>
    <col min="14601" max="14848" width="8.85546875" style="85"/>
    <col min="14849" max="14849" width="14.85546875" style="85" bestFit="1" customWidth="1"/>
    <col min="14850" max="14850" width="21" style="85" customWidth="1"/>
    <col min="14851" max="14851" width="50.85546875" style="85" bestFit="1" customWidth="1"/>
    <col min="14852" max="14852" width="55.85546875" style="85" bestFit="1" customWidth="1"/>
    <col min="14853" max="14853" width="26.140625" style="85" customWidth="1"/>
    <col min="14854" max="14854" width="0" style="85" hidden="1" customWidth="1"/>
    <col min="14855" max="14855" width="7.42578125" style="85" customWidth="1"/>
    <col min="14856" max="14856" width="14.42578125" style="85" customWidth="1"/>
    <col min="14857" max="15104" width="8.85546875" style="85"/>
    <col min="15105" max="15105" width="14.85546875" style="85" bestFit="1" customWidth="1"/>
    <col min="15106" max="15106" width="21" style="85" customWidth="1"/>
    <col min="15107" max="15107" width="50.85546875" style="85" bestFit="1" customWidth="1"/>
    <col min="15108" max="15108" width="55.85546875" style="85" bestFit="1" customWidth="1"/>
    <col min="15109" max="15109" width="26.140625" style="85" customWidth="1"/>
    <col min="15110" max="15110" width="0" style="85" hidden="1" customWidth="1"/>
    <col min="15111" max="15111" width="7.42578125" style="85" customWidth="1"/>
    <col min="15112" max="15112" width="14.42578125" style="85" customWidth="1"/>
    <col min="15113" max="15360" width="8.85546875" style="85"/>
    <col min="15361" max="15361" width="14.85546875" style="85" bestFit="1" customWidth="1"/>
    <col min="15362" max="15362" width="21" style="85" customWidth="1"/>
    <col min="15363" max="15363" width="50.85546875" style="85" bestFit="1" customWidth="1"/>
    <col min="15364" max="15364" width="55.85546875" style="85" bestFit="1" customWidth="1"/>
    <col min="15365" max="15365" width="26.140625" style="85" customWidth="1"/>
    <col min="15366" max="15366" width="0" style="85" hidden="1" customWidth="1"/>
    <col min="15367" max="15367" width="7.42578125" style="85" customWidth="1"/>
    <col min="15368" max="15368" width="14.42578125" style="85" customWidth="1"/>
    <col min="15369" max="15616" width="8.85546875" style="85"/>
    <col min="15617" max="15617" width="14.85546875" style="85" bestFit="1" customWidth="1"/>
    <col min="15618" max="15618" width="21" style="85" customWidth="1"/>
    <col min="15619" max="15619" width="50.85546875" style="85" bestFit="1" customWidth="1"/>
    <col min="15620" max="15620" width="55.85546875" style="85" bestFit="1" customWidth="1"/>
    <col min="15621" max="15621" width="26.140625" style="85" customWidth="1"/>
    <col min="15622" max="15622" width="0" style="85" hidden="1" customWidth="1"/>
    <col min="15623" max="15623" width="7.42578125" style="85" customWidth="1"/>
    <col min="15624" max="15624" width="14.42578125" style="85" customWidth="1"/>
    <col min="15625" max="15872" width="8.85546875" style="85"/>
    <col min="15873" max="15873" width="14.85546875" style="85" bestFit="1" customWidth="1"/>
    <col min="15874" max="15874" width="21" style="85" customWidth="1"/>
    <col min="15875" max="15875" width="50.85546875" style="85" bestFit="1" customWidth="1"/>
    <col min="15876" max="15876" width="55.85546875" style="85" bestFit="1" customWidth="1"/>
    <col min="15877" max="15877" width="26.140625" style="85" customWidth="1"/>
    <col min="15878" max="15878" width="0" style="85" hidden="1" customWidth="1"/>
    <col min="15879" max="15879" width="7.42578125" style="85" customWidth="1"/>
    <col min="15880" max="15880" width="14.42578125" style="85" customWidth="1"/>
    <col min="15881" max="16128" width="8.85546875" style="85"/>
    <col min="16129" max="16129" width="14.85546875" style="85" bestFit="1" customWidth="1"/>
    <col min="16130" max="16130" width="21" style="85" customWidth="1"/>
    <col min="16131" max="16131" width="50.85546875" style="85" bestFit="1" customWidth="1"/>
    <col min="16132" max="16132" width="55.85546875" style="85" bestFit="1" customWidth="1"/>
    <col min="16133" max="16133" width="26.140625" style="85" customWidth="1"/>
    <col min="16134" max="16134" width="0" style="85" hidden="1" customWidth="1"/>
    <col min="16135" max="16135" width="7.42578125" style="85" customWidth="1"/>
    <col min="16136" max="16136" width="14.42578125" style="85" customWidth="1"/>
    <col min="16137" max="16384" width="8.85546875" style="85"/>
  </cols>
  <sheetData>
    <row r="1" spans="1:9" s="215" customFormat="1" ht="18.75" x14ac:dyDescent="0.3">
      <c r="A1" s="214" t="s">
        <v>346</v>
      </c>
      <c r="C1" s="216"/>
      <c r="D1" s="167" t="s">
        <v>347</v>
      </c>
      <c r="E1" s="354">
        <v>44092</v>
      </c>
      <c r="F1" s="83"/>
      <c r="G1" s="83"/>
      <c r="H1" s="217"/>
    </row>
    <row r="2" spans="1:9" x14ac:dyDescent="0.2">
      <c r="A2" s="237"/>
      <c r="B2" s="238"/>
      <c r="E2" s="82" t="s">
        <v>63</v>
      </c>
    </row>
    <row r="3" spans="1:9" ht="13.5" thickBot="1" x14ac:dyDescent="0.25">
      <c r="A3" s="218"/>
      <c r="B3" s="218"/>
      <c r="C3" s="84"/>
    </row>
    <row r="4" spans="1:9" s="84" customFormat="1" ht="21.75" thickBot="1" x14ac:dyDescent="0.25">
      <c r="A4" s="219"/>
      <c r="B4" s="219"/>
      <c r="C4" s="690" t="s">
        <v>348</v>
      </c>
      <c r="D4" s="691"/>
      <c r="I4" s="85"/>
    </row>
    <row r="5" spans="1:9" s="84" customFormat="1" ht="16.5" thickBot="1" x14ac:dyDescent="0.3">
      <c r="A5" s="220" t="s">
        <v>349</v>
      </c>
      <c r="B5" s="221" t="s">
        <v>350</v>
      </c>
      <c r="C5" s="228" t="s">
        <v>351</v>
      </c>
      <c r="D5" s="220" t="s">
        <v>352</v>
      </c>
      <c r="F5" s="306"/>
      <c r="I5" s="85"/>
    </row>
    <row r="6" spans="1:9" s="84" customFormat="1" ht="15" customHeight="1" thickBot="1" x14ac:dyDescent="0.25">
      <c r="A6" s="680" t="s">
        <v>353</v>
      </c>
      <c r="B6" s="680" t="s">
        <v>298</v>
      </c>
      <c r="C6" s="692" t="s">
        <v>165</v>
      </c>
      <c r="D6" s="302" t="s">
        <v>354</v>
      </c>
      <c r="E6" s="90"/>
      <c r="F6" s="306"/>
      <c r="I6" s="85"/>
    </row>
    <row r="7" spans="1:9" s="84" customFormat="1" ht="15.75" customHeight="1" thickBot="1" x14ac:dyDescent="0.25">
      <c r="A7" s="681"/>
      <c r="B7" s="681"/>
      <c r="C7" s="693"/>
      <c r="D7" s="304" t="s">
        <v>355</v>
      </c>
      <c r="E7" s="90"/>
      <c r="F7" s="306"/>
      <c r="I7" s="85"/>
    </row>
    <row r="8" spans="1:9" s="84" customFormat="1" ht="15" customHeight="1" thickBot="1" x14ac:dyDescent="0.25">
      <c r="A8" s="681"/>
      <c r="B8" s="681"/>
      <c r="C8" s="687" t="s">
        <v>167</v>
      </c>
      <c r="D8" s="302" t="s">
        <v>356</v>
      </c>
      <c r="E8" s="178"/>
      <c r="F8" s="42"/>
      <c r="I8" s="85"/>
    </row>
    <row r="9" spans="1:9" s="84" customFormat="1" ht="15" customHeight="1" x14ac:dyDescent="0.2">
      <c r="A9" s="681"/>
      <c r="B9" s="681"/>
      <c r="C9" s="688"/>
      <c r="D9" s="304" t="s">
        <v>357</v>
      </c>
      <c r="E9" s="178"/>
      <c r="F9" s="306"/>
      <c r="I9" s="85"/>
    </row>
    <row r="10" spans="1:9" s="84" customFormat="1" ht="15" customHeight="1" thickBot="1" x14ac:dyDescent="0.25">
      <c r="A10" s="681"/>
      <c r="B10" s="681"/>
      <c r="C10" s="689"/>
      <c r="D10" s="304" t="s">
        <v>358</v>
      </c>
      <c r="E10" s="178"/>
      <c r="F10" s="306"/>
      <c r="I10" s="85"/>
    </row>
    <row r="11" spans="1:9" s="84" customFormat="1" ht="15" customHeight="1" thickBot="1" x14ac:dyDescent="0.25">
      <c r="A11" s="681"/>
      <c r="B11" s="681"/>
      <c r="C11" s="692" t="s">
        <v>168</v>
      </c>
      <c r="D11" s="302" t="s">
        <v>359</v>
      </c>
      <c r="E11" s="178"/>
      <c r="F11" s="306"/>
      <c r="I11" s="85"/>
    </row>
    <row r="12" spans="1:9" s="84" customFormat="1" ht="15" customHeight="1" x14ac:dyDescent="0.2">
      <c r="A12" s="681"/>
      <c r="B12" s="681"/>
      <c r="C12" s="694"/>
      <c r="D12" s="304" t="s">
        <v>360</v>
      </c>
      <c r="E12" s="178"/>
      <c r="F12" s="307"/>
      <c r="I12" s="85"/>
    </row>
    <row r="13" spans="1:9" s="84" customFormat="1" ht="15" customHeight="1" thickBot="1" x14ac:dyDescent="0.25">
      <c r="A13" s="681"/>
      <c r="B13" s="681"/>
      <c r="C13" s="693"/>
      <c r="D13" s="304" t="s">
        <v>361</v>
      </c>
      <c r="E13" s="178"/>
      <c r="F13" s="308"/>
      <c r="I13" s="85"/>
    </row>
    <row r="14" spans="1:9" s="84" customFormat="1" ht="15" customHeight="1" thickBot="1" x14ac:dyDescent="0.25">
      <c r="A14" s="681"/>
      <c r="B14" s="681"/>
      <c r="C14" s="695" t="s">
        <v>170</v>
      </c>
      <c r="D14" s="302" t="s">
        <v>362</v>
      </c>
      <c r="E14" s="178"/>
      <c r="I14" s="85"/>
    </row>
    <row r="15" spans="1:9" s="84" customFormat="1" ht="15" customHeight="1" x14ac:dyDescent="0.2">
      <c r="A15" s="681"/>
      <c r="B15" s="681"/>
      <c r="C15" s="696"/>
      <c r="D15" s="304" t="s">
        <v>363</v>
      </c>
      <c r="E15" s="178"/>
      <c r="I15" s="85"/>
    </row>
    <row r="16" spans="1:9" s="84" customFormat="1" ht="15" customHeight="1" x14ac:dyDescent="0.2">
      <c r="A16" s="681"/>
      <c r="B16" s="681"/>
      <c r="C16" s="696"/>
      <c r="D16" s="304" t="s">
        <v>364</v>
      </c>
      <c r="E16" s="178"/>
      <c r="I16" s="85"/>
    </row>
    <row r="17" spans="1:9" s="84" customFormat="1" ht="25.5" x14ac:dyDescent="0.2">
      <c r="A17" s="681"/>
      <c r="B17" s="681"/>
      <c r="C17" s="696"/>
      <c r="D17" s="305" t="s">
        <v>365</v>
      </c>
      <c r="E17" s="178"/>
      <c r="I17" s="85"/>
    </row>
    <row r="18" spans="1:9" s="84" customFormat="1" ht="15" customHeight="1" thickBot="1" x14ac:dyDescent="0.25">
      <c r="A18" s="681"/>
      <c r="B18" s="681"/>
      <c r="C18" s="696"/>
      <c r="D18" s="304" t="s">
        <v>366</v>
      </c>
      <c r="E18" s="178"/>
      <c r="I18" s="85"/>
    </row>
    <row r="19" spans="1:9" s="84" customFormat="1" ht="15.75" customHeight="1" thickBot="1" x14ac:dyDescent="0.25">
      <c r="A19" s="681"/>
      <c r="B19" s="681"/>
      <c r="C19" s="685" t="s">
        <v>171</v>
      </c>
      <c r="D19" s="302" t="s">
        <v>367</v>
      </c>
      <c r="E19" s="178"/>
      <c r="I19" s="85"/>
    </row>
    <row r="20" spans="1:9" s="84" customFormat="1" ht="12.75" customHeight="1" x14ac:dyDescent="0.2">
      <c r="A20" s="681"/>
      <c r="B20" s="681"/>
      <c r="C20" s="686"/>
      <c r="D20" s="303" t="s">
        <v>368</v>
      </c>
      <c r="E20" s="92"/>
      <c r="I20" s="85"/>
    </row>
    <row r="21" spans="1:9" s="84" customFormat="1" ht="15" customHeight="1" x14ac:dyDescent="0.2">
      <c r="A21" s="681"/>
      <c r="B21" s="681"/>
      <c r="C21" s="686"/>
      <c r="D21" s="304" t="s">
        <v>369</v>
      </c>
      <c r="I21" s="85"/>
    </row>
    <row r="22" spans="1:9" s="84" customFormat="1" ht="15" customHeight="1" x14ac:dyDescent="0.2">
      <c r="A22" s="681"/>
      <c r="B22" s="681"/>
      <c r="C22" s="686"/>
      <c r="D22" s="304" t="s">
        <v>370</v>
      </c>
      <c r="I22" s="85"/>
    </row>
    <row r="23" spans="1:9" s="84" customFormat="1" ht="15" customHeight="1" x14ac:dyDescent="0.2">
      <c r="A23" s="681"/>
      <c r="B23" s="681"/>
      <c r="C23" s="686"/>
      <c r="D23" s="304" t="s">
        <v>371</v>
      </c>
      <c r="I23" s="85"/>
    </row>
    <row r="24" spans="1:9" s="84" customFormat="1" ht="15" customHeight="1" thickBot="1" x14ac:dyDescent="0.25">
      <c r="A24" s="681"/>
      <c r="B24" s="681"/>
      <c r="C24" s="686"/>
      <c r="D24" s="602" t="s">
        <v>372</v>
      </c>
      <c r="I24" s="85"/>
    </row>
    <row r="25" spans="1:9" ht="15" customHeight="1" thickBot="1" x14ac:dyDescent="0.25">
      <c r="A25" s="681"/>
      <c r="B25" s="681"/>
      <c r="C25" s="685" t="s">
        <v>173</v>
      </c>
      <c r="D25" s="302" t="s">
        <v>373</v>
      </c>
    </row>
    <row r="26" spans="1:9" ht="15" customHeight="1" x14ac:dyDescent="0.2">
      <c r="A26" s="681"/>
      <c r="B26" s="681"/>
      <c r="C26" s="686"/>
      <c r="D26" s="303" t="s">
        <v>374</v>
      </c>
    </row>
    <row r="27" spans="1:9" ht="15" customHeight="1" thickBot="1" x14ac:dyDescent="0.25">
      <c r="A27" s="681"/>
      <c r="B27" s="681"/>
      <c r="C27" s="686"/>
      <c r="D27" s="602" t="s">
        <v>375</v>
      </c>
    </row>
    <row r="28" spans="1:9" ht="15" customHeight="1" thickBot="1" x14ac:dyDescent="0.25">
      <c r="A28" s="681"/>
      <c r="B28" s="681"/>
      <c r="C28" s="685" t="s">
        <v>174</v>
      </c>
      <c r="D28" s="302" t="s">
        <v>376</v>
      </c>
    </row>
    <row r="29" spans="1:9" ht="15.75" customHeight="1" x14ac:dyDescent="0.2">
      <c r="A29" s="681"/>
      <c r="B29" s="681"/>
      <c r="C29" s="686"/>
      <c r="D29" s="304" t="s">
        <v>377</v>
      </c>
    </row>
    <row r="30" spans="1:9" ht="15.75" customHeight="1" x14ac:dyDescent="0.2">
      <c r="A30" s="681"/>
      <c r="B30" s="681"/>
      <c r="C30" s="686"/>
      <c r="D30" s="304" t="s">
        <v>378</v>
      </c>
    </row>
    <row r="31" spans="1:9" ht="15" customHeight="1" x14ac:dyDescent="0.2">
      <c r="A31" s="681"/>
      <c r="B31" s="681"/>
      <c r="C31" s="686"/>
      <c r="D31" s="304" t="s">
        <v>379</v>
      </c>
    </row>
    <row r="32" spans="1:9" ht="15" customHeight="1" x14ac:dyDescent="0.2">
      <c r="A32" s="681"/>
      <c r="B32" s="681"/>
      <c r="C32" s="686"/>
      <c r="D32" s="304" t="s">
        <v>380</v>
      </c>
    </row>
    <row r="33" spans="1:4" ht="15" customHeight="1" x14ac:dyDescent="0.2">
      <c r="A33" s="681"/>
      <c r="B33" s="681"/>
      <c r="C33" s="686"/>
      <c r="D33" s="304" t="s">
        <v>381</v>
      </c>
    </row>
    <row r="34" spans="1:4" ht="15" customHeight="1" x14ac:dyDescent="0.2">
      <c r="A34" s="681"/>
      <c r="B34" s="681"/>
      <c r="C34" s="686"/>
      <c r="D34" s="304" t="s">
        <v>382</v>
      </c>
    </row>
    <row r="35" spans="1:4" ht="15" customHeight="1" x14ac:dyDescent="0.2">
      <c r="A35" s="681"/>
      <c r="B35" s="681"/>
      <c r="C35" s="686"/>
      <c r="D35" s="304" t="s">
        <v>383</v>
      </c>
    </row>
    <row r="36" spans="1:4" ht="15" customHeight="1" x14ac:dyDescent="0.2">
      <c r="A36" s="681"/>
      <c r="B36" s="681"/>
      <c r="C36" s="686"/>
      <c r="D36" s="304" t="s">
        <v>384</v>
      </c>
    </row>
    <row r="37" spans="1:4" ht="15" customHeight="1" x14ac:dyDescent="0.2">
      <c r="A37" s="681"/>
      <c r="B37" s="681"/>
      <c r="C37" s="686"/>
      <c r="D37" s="304" t="s">
        <v>385</v>
      </c>
    </row>
    <row r="38" spans="1:4" ht="15" customHeight="1" x14ac:dyDescent="0.2">
      <c r="A38" s="681"/>
      <c r="B38" s="681"/>
      <c r="C38" s="686"/>
      <c r="D38" s="304" t="s">
        <v>386</v>
      </c>
    </row>
    <row r="39" spans="1:4" ht="15" customHeight="1" x14ac:dyDescent="0.2">
      <c r="A39" s="681"/>
      <c r="B39" s="681"/>
      <c r="C39" s="686"/>
      <c r="D39" s="304" t="s">
        <v>387</v>
      </c>
    </row>
    <row r="40" spans="1:4" ht="15" customHeight="1" x14ac:dyDescent="0.2">
      <c r="A40" s="681"/>
      <c r="B40" s="681"/>
      <c r="C40" s="686"/>
      <c r="D40" s="304" t="s">
        <v>388</v>
      </c>
    </row>
    <row r="41" spans="1:4" ht="15" customHeight="1" x14ac:dyDescent="0.2">
      <c r="A41" s="681"/>
      <c r="B41" s="681"/>
      <c r="C41" s="686"/>
      <c r="D41" s="304" t="s">
        <v>389</v>
      </c>
    </row>
    <row r="42" spans="1:4" ht="15" customHeight="1" x14ac:dyDescent="0.2">
      <c r="A42" s="681"/>
      <c r="B42" s="681"/>
      <c r="C42" s="686"/>
      <c r="D42" s="304" t="s">
        <v>390</v>
      </c>
    </row>
    <row r="43" spans="1:4" ht="15" customHeight="1" x14ac:dyDescent="0.2">
      <c r="A43" s="681"/>
      <c r="B43" s="681"/>
      <c r="C43" s="686"/>
      <c r="D43" s="304" t="s">
        <v>391</v>
      </c>
    </row>
    <row r="44" spans="1:4" ht="15" customHeight="1" x14ac:dyDescent="0.2">
      <c r="A44" s="681"/>
      <c r="B44" s="681"/>
      <c r="C44" s="686"/>
      <c r="D44" s="304" t="s">
        <v>392</v>
      </c>
    </row>
    <row r="45" spans="1:4" ht="15" customHeight="1" x14ac:dyDescent="0.2">
      <c r="A45" s="681"/>
      <c r="B45" s="681"/>
      <c r="C45" s="686"/>
      <c r="D45" s="304" t="s">
        <v>393</v>
      </c>
    </row>
    <row r="46" spans="1:4" ht="15" customHeight="1" x14ac:dyDescent="0.2">
      <c r="A46" s="681"/>
      <c r="B46" s="681"/>
      <c r="C46" s="686"/>
      <c r="D46" s="304" t="s">
        <v>394</v>
      </c>
    </row>
    <row r="47" spans="1:4" ht="15" customHeight="1" x14ac:dyDescent="0.2">
      <c r="A47" s="681"/>
      <c r="B47" s="681"/>
      <c r="C47" s="686"/>
      <c r="D47" s="304" t="s">
        <v>395</v>
      </c>
    </row>
    <row r="48" spans="1:4" ht="15" customHeight="1" thickBot="1" x14ac:dyDescent="0.25">
      <c r="A48" s="681"/>
      <c r="B48" s="681"/>
      <c r="C48" s="686"/>
      <c r="D48" s="304" t="s">
        <v>396</v>
      </c>
    </row>
    <row r="49" spans="1:8" ht="13.5" customHeight="1" thickBot="1" x14ac:dyDescent="0.25">
      <c r="A49" s="681"/>
      <c r="B49" s="681"/>
      <c r="C49" s="678" t="s">
        <v>176</v>
      </c>
      <c r="D49" s="302" t="s">
        <v>397</v>
      </c>
      <c r="F49" s="223"/>
      <c r="G49" s="222"/>
      <c r="H49" s="222"/>
    </row>
    <row r="50" spans="1:8" ht="12.75" customHeight="1" x14ac:dyDescent="0.2">
      <c r="A50" s="681"/>
      <c r="B50" s="681"/>
      <c r="C50" s="679"/>
      <c r="D50" s="305" t="s">
        <v>398</v>
      </c>
      <c r="F50" s="223"/>
      <c r="G50" s="222"/>
      <c r="H50" s="222"/>
    </row>
    <row r="51" spans="1:8" ht="12.75" customHeight="1" x14ac:dyDescent="0.2">
      <c r="A51" s="681"/>
      <c r="B51" s="681"/>
      <c r="C51" s="679"/>
      <c r="D51" s="305" t="s">
        <v>399</v>
      </c>
      <c r="F51" s="223"/>
      <c r="G51" s="222"/>
      <c r="H51" s="222"/>
    </row>
    <row r="52" spans="1:8" ht="12.75" customHeight="1" x14ac:dyDescent="0.2">
      <c r="A52" s="681"/>
      <c r="B52" s="681"/>
      <c r="C52" s="679"/>
      <c r="D52" s="305" t="s">
        <v>400</v>
      </c>
      <c r="F52" s="223"/>
      <c r="G52" s="222"/>
      <c r="H52" s="222"/>
    </row>
    <row r="53" spans="1:8" ht="12.75" customHeight="1" x14ac:dyDescent="0.2">
      <c r="A53" s="681"/>
      <c r="B53" s="681"/>
      <c r="C53" s="679"/>
      <c r="D53" s="305" t="s">
        <v>401</v>
      </c>
      <c r="F53" s="223"/>
      <c r="G53" s="222"/>
      <c r="H53" s="222"/>
    </row>
    <row r="54" spans="1:8" ht="12.75" customHeight="1" x14ac:dyDescent="0.2">
      <c r="A54" s="681"/>
      <c r="B54" s="681"/>
      <c r="C54" s="679"/>
      <c r="D54" s="305" t="s">
        <v>402</v>
      </c>
      <c r="F54" s="223"/>
      <c r="G54" s="222"/>
      <c r="H54" s="222"/>
    </row>
    <row r="55" spans="1:8" ht="12.75" customHeight="1" x14ac:dyDescent="0.2">
      <c r="A55" s="681"/>
      <c r="B55" s="681"/>
      <c r="C55" s="679"/>
      <c r="D55" s="305" t="s">
        <v>403</v>
      </c>
      <c r="F55" s="223"/>
      <c r="G55" s="222"/>
      <c r="H55" s="222"/>
    </row>
    <row r="56" spans="1:8" ht="12.75" customHeight="1" x14ac:dyDescent="0.2">
      <c r="A56" s="681"/>
      <c r="B56" s="681"/>
      <c r="C56" s="679"/>
      <c r="D56" s="305" t="s">
        <v>404</v>
      </c>
      <c r="F56" s="223"/>
      <c r="G56" s="222"/>
      <c r="H56" s="222"/>
    </row>
    <row r="57" spans="1:8" ht="12.75" customHeight="1" x14ac:dyDescent="0.2">
      <c r="A57" s="681"/>
      <c r="B57" s="681"/>
      <c r="C57" s="679"/>
      <c r="D57" s="305" t="s">
        <v>405</v>
      </c>
      <c r="F57" s="223"/>
      <c r="G57" s="222"/>
      <c r="H57" s="222"/>
    </row>
    <row r="58" spans="1:8" ht="12.75" customHeight="1" thickBot="1" x14ac:dyDescent="0.25">
      <c r="A58" s="681"/>
      <c r="B58" s="681"/>
      <c r="C58" s="679"/>
      <c r="D58" s="305" t="s">
        <v>406</v>
      </c>
      <c r="F58" s="223"/>
      <c r="G58" s="222"/>
      <c r="H58" s="222"/>
    </row>
    <row r="59" spans="1:8" ht="13.5" thickBot="1" x14ac:dyDescent="0.25">
      <c r="A59" s="681"/>
      <c r="B59" s="681"/>
      <c r="C59" s="678" t="s">
        <v>177</v>
      </c>
      <c r="D59" s="302" t="s">
        <v>407</v>
      </c>
      <c r="E59" s="224"/>
      <c r="F59" s="224"/>
      <c r="G59" s="225"/>
      <c r="H59" s="225"/>
    </row>
    <row r="60" spans="1:8" x14ac:dyDescent="0.2">
      <c r="A60" s="681"/>
      <c r="B60" s="681"/>
      <c r="C60" s="679"/>
      <c r="D60" s="305" t="s">
        <v>408</v>
      </c>
      <c r="E60" s="224"/>
      <c r="F60" s="224"/>
      <c r="G60" s="225"/>
      <c r="H60" s="225"/>
    </row>
    <row r="61" spans="1:8" x14ac:dyDescent="0.2">
      <c r="A61" s="681"/>
      <c r="B61" s="681"/>
      <c r="C61" s="679"/>
      <c r="D61" s="305" t="s">
        <v>409</v>
      </c>
      <c r="E61" s="224"/>
      <c r="F61" s="224"/>
      <c r="G61" s="225"/>
      <c r="H61" s="225"/>
    </row>
    <row r="62" spans="1:8" x14ac:dyDescent="0.2">
      <c r="A62" s="681"/>
      <c r="B62" s="681"/>
      <c r="C62" s="679"/>
      <c r="D62" s="305" t="s">
        <v>410</v>
      </c>
      <c r="E62" s="224"/>
      <c r="F62" s="224"/>
      <c r="G62" s="225"/>
      <c r="H62" s="225"/>
    </row>
    <row r="63" spans="1:8" x14ac:dyDescent="0.2">
      <c r="A63" s="681"/>
      <c r="B63" s="681"/>
      <c r="C63" s="679"/>
      <c r="D63" s="305" t="s">
        <v>411</v>
      </c>
      <c r="E63" s="224"/>
      <c r="F63" s="224"/>
      <c r="G63" s="225"/>
      <c r="H63" s="225"/>
    </row>
    <row r="64" spans="1:8" x14ac:dyDescent="0.2">
      <c r="A64" s="681"/>
      <c r="B64" s="681"/>
      <c r="C64" s="679"/>
      <c r="D64" s="305" t="s">
        <v>412</v>
      </c>
      <c r="E64" s="224"/>
      <c r="F64" s="224"/>
      <c r="G64" s="225"/>
      <c r="H64" s="225"/>
    </row>
    <row r="65" spans="1:8" x14ac:dyDescent="0.2">
      <c r="A65" s="681"/>
      <c r="B65" s="681"/>
      <c r="C65" s="679"/>
      <c r="D65" s="305" t="s">
        <v>413</v>
      </c>
      <c r="E65" s="224"/>
      <c r="F65" s="224"/>
      <c r="G65" s="225"/>
      <c r="H65" s="225"/>
    </row>
    <row r="66" spans="1:8" x14ac:dyDescent="0.2">
      <c r="A66" s="681"/>
      <c r="B66" s="681"/>
      <c r="C66" s="679"/>
      <c r="D66" s="305" t="s">
        <v>414</v>
      </c>
      <c r="E66" s="224"/>
      <c r="F66" s="224"/>
      <c r="G66" s="225"/>
      <c r="H66" s="225"/>
    </row>
    <row r="67" spans="1:8" x14ac:dyDescent="0.2">
      <c r="A67" s="681"/>
      <c r="B67" s="681"/>
      <c r="C67" s="679"/>
      <c r="D67" s="305" t="s">
        <v>415</v>
      </c>
      <c r="E67" s="224"/>
      <c r="F67" s="224"/>
      <c r="G67" s="225"/>
      <c r="H67" s="225"/>
    </row>
    <row r="68" spans="1:8" x14ac:dyDescent="0.2">
      <c r="A68" s="681"/>
      <c r="B68" s="681"/>
      <c r="C68" s="679"/>
      <c r="D68" s="305" t="s">
        <v>416</v>
      </c>
      <c r="E68" s="224"/>
      <c r="F68" s="224"/>
      <c r="G68" s="225"/>
      <c r="H68" s="225"/>
    </row>
    <row r="69" spans="1:8" x14ac:dyDescent="0.2">
      <c r="A69" s="681"/>
      <c r="B69" s="681"/>
      <c r="C69" s="679"/>
      <c r="D69" s="305" t="s">
        <v>417</v>
      </c>
      <c r="E69" s="224"/>
      <c r="F69" s="224"/>
      <c r="G69" s="225"/>
      <c r="H69" s="225"/>
    </row>
    <row r="70" spans="1:8" x14ac:dyDescent="0.2">
      <c r="A70" s="681"/>
      <c r="B70" s="681"/>
      <c r="C70" s="679"/>
      <c r="D70" s="305" t="s">
        <v>418</v>
      </c>
      <c r="E70" s="224"/>
      <c r="F70" s="224"/>
      <c r="G70" s="225"/>
      <c r="H70" s="225"/>
    </row>
    <row r="71" spans="1:8" x14ac:dyDescent="0.2">
      <c r="A71" s="681"/>
      <c r="B71" s="681"/>
      <c r="C71" s="679"/>
      <c r="D71" s="305" t="s">
        <v>419</v>
      </c>
      <c r="E71" s="224"/>
      <c r="F71" s="224"/>
      <c r="G71" s="225"/>
      <c r="H71" s="225"/>
    </row>
    <row r="72" spans="1:8" x14ac:dyDescent="0.2">
      <c r="A72" s="681"/>
      <c r="B72" s="681"/>
      <c r="C72" s="679"/>
      <c r="D72" s="305" t="s">
        <v>420</v>
      </c>
      <c r="E72" s="224"/>
      <c r="F72" s="224"/>
      <c r="G72" s="225"/>
      <c r="H72" s="225"/>
    </row>
    <row r="73" spans="1:8" ht="13.5" thickBot="1" x14ac:dyDescent="0.25">
      <c r="A73" s="681"/>
      <c r="B73" s="681"/>
      <c r="C73" s="679"/>
      <c r="D73" s="603" t="s">
        <v>421</v>
      </c>
      <c r="E73" s="224"/>
      <c r="F73" s="224"/>
      <c r="G73" s="225"/>
      <c r="H73" s="225"/>
    </row>
    <row r="74" spans="1:8" x14ac:dyDescent="0.2">
      <c r="A74" s="681"/>
      <c r="B74" s="681"/>
      <c r="C74" s="674" t="s">
        <v>252</v>
      </c>
      <c r="D74" s="676" t="s">
        <v>422</v>
      </c>
      <c r="E74" s="224"/>
      <c r="F74" s="224"/>
      <c r="G74" s="225"/>
      <c r="H74" s="225"/>
    </row>
    <row r="75" spans="1:8" ht="13.5" thickBot="1" x14ac:dyDescent="0.25">
      <c r="A75" s="681"/>
      <c r="B75" s="681"/>
      <c r="C75" s="675"/>
      <c r="D75" s="677"/>
      <c r="E75" s="224"/>
      <c r="F75" s="224"/>
      <c r="G75" s="225"/>
      <c r="H75" s="225"/>
    </row>
    <row r="76" spans="1:8" ht="21.75" customHeight="1" thickBot="1" x14ac:dyDescent="0.25">
      <c r="A76" s="681"/>
      <c r="B76" s="681"/>
      <c r="C76" s="683" t="s">
        <v>423</v>
      </c>
      <c r="D76" s="684"/>
      <c r="E76" s="224"/>
      <c r="F76" s="224"/>
      <c r="G76" s="225"/>
      <c r="H76" s="225"/>
    </row>
    <row r="77" spans="1:8" ht="13.5" thickBot="1" x14ac:dyDescent="0.25">
      <c r="A77" s="681"/>
      <c r="B77" s="681"/>
      <c r="C77" s="229" t="s">
        <v>424</v>
      </c>
      <c r="D77" s="229" t="s">
        <v>425</v>
      </c>
      <c r="E77" s="224"/>
      <c r="F77" s="224"/>
      <c r="G77" s="225"/>
      <c r="H77" s="227"/>
    </row>
    <row r="78" spans="1:8" x14ac:dyDescent="0.2">
      <c r="A78" s="681"/>
      <c r="B78" s="681"/>
      <c r="C78" s="230" t="s">
        <v>180</v>
      </c>
      <c r="D78" s="233"/>
    </row>
    <row r="79" spans="1:8" x14ac:dyDescent="0.2">
      <c r="A79" s="681"/>
      <c r="B79" s="681"/>
      <c r="C79" s="604" t="s">
        <v>148</v>
      </c>
      <c r="D79" s="605"/>
    </row>
    <row r="80" spans="1:8" x14ac:dyDescent="0.2">
      <c r="A80" s="681"/>
      <c r="B80" s="681"/>
      <c r="C80" s="235" t="s">
        <v>182</v>
      </c>
      <c r="D80" s="236"/>
    </row>
    <row r="81" spans="1:4" x14ac:dyDescent="0.2">
      <c r="A81" s="681"/>
      <c r="B81" s="681"/>
      <c r="C81" s="606" t="s">
        <v>152</v>
      </c>
      <c r="D81" s="607"/>
    </row>
    <row r="82" spans="1:4" x14ac:dyDescent="0.2">
      <c r="A82" s="681"/>
      <c r="B82" s="681"/>
      <c r="C82" s="230" t="s">
        <v>253</v>
      </c>
      <c r="D82" s="234"/>
    </row>
    <row r="83" spans="1:4" x14ac:dyDescent="0.2">
      <c r="A83" s="681"/>
      <c r="B83" s="681"/>
      <c r="C83" s="231" t="s">
        <v>186</v>
      </c>
      <c r="D83" s="608"/>
    </row>
    <row r="84" spans="1:4" x14ac:dyDescent="0.2">
      <c r="A84" s="681"/>
      <c r="B84" s="681"/>
      <c r="C84" s="232" t="s">
        <v>187</v>
      </c>
      <c r="D84" s="609"/>
    </row>
    <row r="85" spans="1:4" x14ac:dyDescent="0.2">
      <c r="A85" s="681"/>
      <c r="B85" s="681"/>
      <c r="C85" s="232" t="s">
        <v>188</v>
      </c>
      <c r="D85" s="609"/>
    </row>
    <row r="86" spans="1:4" x14ac:dyDescent="0.2">
      <c r="A86" s="681"/>
      <c r="B86" s="681"/>
      <c r="C86" s="231" t="s">
        <v>189</v>
      </c>
      <c r="D86" s="605"/>
    </row>
    <row r="87" spans="1:4" x14ac:dyDescent="0.2">
      <c r="A87" s="681"/>
      <c r="B87" s="681"/>
      <c r="C87" s="231" t="s">
        <v>190</v>
      </c>
      <c r="D87" s="610"/>
    </row>
    <row r="88" spans="1:4" ht="12.75" customHeight="1" x14ac:dyDescent="0.2">
      <c r="A88" s="681"/>
      <c r="B88" s="681"/>
      <c r="C88" s="232" t="s">
        <v>191</v>
      </c>
      <c r="D88" s="611"/>
    </row>
    <row r="89" spans="1:4" x14ac:dyDescent="0.2">
      <c r="A89" s="681"/>
      <c r="B89" s="681"/>
      <c r="C89" s="232" t="s">
        <v>192</v>
      </c>
      <c r="D89" s="612"/>
    </row>
    <row r="90" spans="1:4" x14ac:dyDescent="0.2">
      <c r="A90" s="681"/>
      <c r="B90" s="681"/>
      <c r="C90" s="231" t="s">
        <v>193</v>
      </c>
      <c r="D90" s="613"/>
    </row>
    <row r="91" spans="1:4" x14ac:dyDescent="0.2">
      <c r="A91" s="681"/>
      <c r="B91" s="681"/>
      <c r="C91" s="231" t="s">
        <v>194</v>
      </c>
      <c r="D91" s="610"/>
    </row>
    <row r="92" spans="1:4" x14ac:dyDescent="0.2">
      <c r="A92" s="681"/>
      <c r="B92" s="681"/>
      <c r="C92" s="232" t="s">
        <v>195</v>
      </c>
      <c r="D92" s="612"/>
    </row>
    <row r="93" spans="1:4" x14ac:dyDescent="0.2">
      <c r="A93" s="681"/>
      <c r="B93" s="681"/>
      <c r="C93" s="232" t="s">
        <v>196</v>
      </c>
      <c r="D93" s="612"/>
    </row>
    <row r="94" spans="1:4" x14ac:dyDescent="0.2">
      <c r="A94" s="681"/>
      <c r="B94" s="681"/>
      <c r="C94" s="231" t="s">
        <v>197</v>
      </c>
      <c r="D94" s="610"/>
    </row>
    <row r="95" spans="1:4" ht="13.5" thickBot="1" x14ac:dyDescent="0.25">
      <c r="A95" s="682"/>
      <c r="B95" s="682"/>
      <c r="C95" s="614" t="s">
        <v>198</v>
      </c>
      <c r="D95" s="615"/>
    </row>
    <row r="98" spans="1:4" ht="15.75" x14ac:dyDescent="0.2">
      <c r="A98" s="226" t="s">
        <v>426</v>
      </c>
      <c r="D98" s="85"/>
    </row>
    <row r="99" spans="1:4" x14ac:dyDescent="0.2">
      <c r="D99" s="85"/>
    </row>
  </sheetData>
  <mergeCells count="15">
    <mergeCell ref="C4:D4"/>
    <mergeCell ref="C6:C7"/>
    <mergeCell ref="C11:C13"/>
    <mergeCell ref="C19:C24"/>
    <mergeCell ref="C14:C18"/>
    <mergeCell ref="C74:C75"/>
    <mergeCell ref="D74:D75"/>
    <mergeCell ref="C59:C73"/>
    <mergeCell ref="A6:A95"/>
    <mergeCell ref="C76:D76"/>
    <mergeCell ref="C25:C27"/>
    <mergeCell ref="C28:C48"/>
    <mergeCell ref="C49:C58"/>
    <mergeCell ref="B6:B95"/>
    <mergeCell ref="C8:C10"/>
  </mergeCells>
  <hyperlinks>
    <hyperlink ref="E2" location="Inventory!A1" display="Inventory" xr:uid="{00000000-0004-0000-0F00-000000000000}"/>
    <hyperlink ref="E1" r:id="rId1" display="https://flankspeed.sharepoint-mil.us.mcas-gov.us/sites/CPF-CNAP-HQ/N42/N422/SharedDocuments/Forms/AllItems.aspx?RootFolder=%2Fsites%2FCPF%2DCNAP%2DHQ%2FN42%2FN422%2FSharedDocuments%2FN422C%20NAMP%2FMESMs&amp;FolderCTID=0x012000DF16210E418C3840B293E75187CA959E" xr:uid="{00000000-0004-0000-0F00-000001000000}"/>
  </hyperlinks>
  <pageMargins left="0.25" right="0.25" top="0.25" bottom="0.25" header="0.5" footer="0.5"/>
  <pageSetup scale="80" orientation="landscape" horizontalDpi="300" verticalDpi="300" r:id="rId2"/>
  <headerFooter alignWithMargins="0"/>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7"/>
  <sheetViews>
    <sheetView showGridLines="0" workbookViewId="0"/>
  </sheetViews>
  <sheetFormatPr defaultRowHeight="15" x14ac:dyDescent="0.25"/>
  <cols>
    <col min="1" max="1" width="16" style="290" bestFit="1" customWidth="1"/>
    <col min="2" max="2" width="100.85546875" style="290" customWidth="1"/>
    <col min="3" max="16384" width="9.140625" style="290"/>
  </cols>
  <sheetData>
    <row r="1" spans="1:2" x14ac:dyDescent="0.25">
      <c r="A1" s="289" t="s">
        <v>63</v>
      </c>
    </row>
    <row r="3" spans="1:2" x14ac:dyDescent="0.25">
      <c r="A3" s="291" t="s">
        <v>427</v>
      </c>
      <c r="B3" s="291" t="s">
        <v>428</v>
      </c>
    </row>
    <row r="4" spans="1:2" ht="60" x14ac:dyDescent="0.25">
      <c r="A4" s="616" t="s">
        <v>252</v>
      </c>
      <c r="B4" s="617" t="s">
        <v>429</v>
      </c>
    </row>
    <row r="5" spans="1:2" x14ac:dyDescent="0.25">
      <c r="A5" s="409"/>
      <c r="B5" s="409"/>
    </row>
    <row r="6" spans="1:2" x14ac:dyDescent="0.25">
      <c r="A6" s="409"/>
      <c r="B6" s="409"/>
    </row>
    <row r="7" spans="1:2" x14ac:dyDescent="0.25">
      <c r="A7" s="409"/>
      <c r="B7" s="409"/>
    </row>
    <row r="8" spans="1:2" x14ac:dyDescent="0.25">
      <c r="A8" s="409"/>
      <c r="B8" s="409"/>
    </row>
    <row r="9" spans="1:2" x14ac:dyDescent="0.25">
      <c r="A9" s="409"/>
      <c r="B9" s="409"/>
    </row>
    <row r="10" spans="1:2" x14ac:dyDescent="0.25">
      <c r="A10" s="409"/>
      <c r="B10" s="409"/>
    </row>
    <row r="11" spans="1:2" x14ac:dyDescent="0.25">
      <c r="A11" s="409"/>
      <c r="B11" s="409"/>
    </row>
    <row r="12" spans="1:2" x14ac:dyDescent="0.25">
      <c r="A12" s="409"/>
      <c r="B12" s="409"/>
    </row>
    <row r="13" spans="1:2" x14ac:dyDescent="0.25">
      <c r="A13" s="409"/>
      <c r="B13" s="409"/>
    </row>
    <row r="14" spans="1:2" x14ac:dyDescent="0.25">
      <c r="A14" s="409"/>
      <c r="B14" s="409"/>
    </row>
    <row r="15" spans="1:2" x14ac:dyDescent="0.25">
      <c r="A15" s="409"/>
      <c r="B15" s="409"/>
    </row>
    <row r="16" spans="1:2" x14ac:dyDescent="0.25">
      <c r="A16" s="409"/>
      <c r="B16" s="409"/>
    </row>
    <row r="17" spans="1:2" x14ac:dyDescent="0.25">
      <c r="A17" s="409"/>
      <c r="B17" s="409"/>
    </row>
  </sheetData>
  <hyperlinks>
    <hyperlink ref="A1" location="Inventory!A1" display="Inventory"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E166"/>
  <sheetViews>
    <sheetView topLeftCell="A140" workbookViewId="0">
      <selection activeCell="A160" sqref="A160:AE166"/>
    </sheetView>
  </sheetViews>
  <sheetFormatPr defaultColWidth="8.85546875" defaultRowHeight="12.75" x14ac:dyDescent="0.2"/>
  <sheetData>
    <row r="1" spans="2:31" x14ac:dyDescent="0.2">
      <c r="B1" t="e">
        <f>#REF!</f>
        <v>#REF!</v>
      </c>
      <c r="C1" t="e">
        <f>#REF!</f>
        <v>#REF!</v>
      </c>
      <c r="D1" t="e">
        <f>#REF!</f>
        <v>#REF!</v>
      </c>
      <c r="E1" t="e">
        <f>#REF!</f>
        <v>#REF!</v>
      </c>
      <c r="F1" t="e">
        <f>#REF!</f>
        <v>#REF!</v>
      </c>
      <c r="G1" t="e">
        <f>#REF!</f>
        <v>#REF!</v>
      </c>
      <c r="H1" t="e">
        <f>#REF!</f>
        <v>#REF!</v>
      </c>
      <c r="I1" t="e">
        <f>#REF!</f>
        <v>#REF!</v>
      </c>
      <c r="J1" t="e">
        <f>#REF!</f>
        <v>#REF!</v>
      </c>
      <c r="K1" t="e">
        <f>#REF!</f>
        <v>#REF!</v>
      </c>
      <c r="L1" t="e">
        <f>#REF!</f>
        <v>#REF!</v>
      </c>
      <c r="M1" t="e">
        <f>#REF!</f>
        <v>#REF!</v>
      </c>
      <c r="N1" t="e">
        <f>#REF!</f>
        <v>#REF!</v>
      </c>
      <c r="O1" t="e">
        <f>#REF!</f>
        <v>#REF!</v>
      </c>
      <c r="P1" t="e">
        <f>#REF!</f>
        <v>#REF!</v>
      </c>
      <c r="Q1" t="e">
        <f>#REF!</f>
        <v>#REF!</v>
      </c>
      <c r="R1" t="e">
        <f>#REF!</f>
        <v>#REF!</v>
      </c>
      <c r="S1" t="e">
        <f>#REF!</f>
        <v>#REF!</v>
      </c>
      <c r="T1" t="e">
        <f>#REF!</f>
        <v>#REF!</v>
      </c>
      <c r="U1" t="e">
        <f>#REF!</f>
        <v>#REF!</v>
      </c>
      <c r="V1" t="e">
        <f>#REF!</f>
        <v>#REF!</v>
      </c>
      <c r="W1" t="e">
        <f>#REF!</f>
        <v>#REF!</v>
      </c>
      <c r="X1" t="e">
        <f>#REF!</f>
        <v>#REF!</v>
      </c>
      <c r="Y1" t="e">
        <f>#REF!</f>
        <v>#REF!</v>
      </c>
      <c r="Z1" t="e">
        <f>#REF!</f>
        <v>#REF!</v>
      </c>
      <c r="AA1" t="e">
        <f>#REF!</f>
        <v>#REF!</v>
      </c>
      <c r="AB1" t="e">
        <f>#REF!</f>
        <v>#REF!</v>
      </c>
      <c r="AC1" t="e">
        <f>#REF!</f>
        <v>#REF!</v>
      </c>
      <c r="AD1" t="e">
        <f>#REF!</f>
        <v>#REF!</v>
      </c>
      <c r="AE1" t="e">
        <f>#REF!</f>
        <v>#REF!</v>
      </c>
    </row>
    <row r="2" spans="2:31" x14ac:dyDescent="0.2">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row>
    <row r="3" spans="2:31" x14ac:dyDescent="0.2">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row>
    <row r="5" spans="2:31" x14ac:dyDescent="0.2">
      <c r="B5" s="136" t="e">
        <f>#REF!</f>
        <v>#REF!</v>
      </c>
      <c r="C5" s="136" t="e">
        <f>#REF!</f>
        <v>#REF!</v>
      </c>
      <c r="D5" s="136" t="e">
        <f>#REF!</f>
        <v>#REF!</v>
      </c>
      <c r="E5" s="136" t="e">
        <f>#REF!</f>
        <v>#REF!</v>
      </c>
      <c r="F5" s="136" t="e">
        <f>#REF!</f>
        <v>#REF!</v>
      </c>
      <c r="G5" s="136" t="e">
        <f>#REF!</f>
        <v>#REF!</v>
      </c>
      <c r="H5" s="136" t="e">
        <f>#REF!</f>
        <v>#REF!</v>
      </c>
      <c r="I5" s="136" t="e">
        <f>#REF!</f>
        <v>#REF!</v>
      </c>
      <c r="J5" s="136" t="e">
        <f>#REF!</f>
        <v>#REF!</v>
      </c>
      <c r="K5" s="136" t="e">
        <f>#REF!</f>
        <v>#REF!</v>
      </c>
      <c r="L5" s="136" t="e">
        <f>#REF!</f>
        <v>#REF!</v>
      </c>
      <c r="M5" s="136" t="e">
        <f>#REF!</f>
        <v>#REF!</v>
      </c>
      <c r="N5" s="136" t="e">
        <f>#REF!</f>
        <v>#REF!</v>
      </c>
      <c r="O5" s="136" t="e">
        <f>#REF!</f>
        <v>#REF!</v>
      </c>
      <c r="P5" s="136" t="e">
        <f>#REF!</f>
        <v>#REF!</v>
      </c>
      <c r="Q5" s="136" t="e">
        <f>#REF!</f>
        <v>#REF!</v>
      </c>
      <c r="R5" s="136" t="e">
        <f>#REF!</f>
        <v>#REF!</v>
      </c>
      <c r="S5" s="136" t="e">
        <f>#REF!</f>
        <v>#REF!</v>
      </c>
      <c r="T5" s="136" t="e">
        <f>#REF!</f>
        <v>#REF!</v>
      </c>
      <c r="U5" s="136" t="e">
        <f>#REF!</f>
        <v>#REF!</v>
      </c>
      <c r="V5" s="136" t="e">
        <f>#REF!</f>
        <v>#REF!</v>
      </c>
      <c r="W5" s="136" t="e">
        <f>#REF!</f>
        <v>#REF!</v>
      </c>
      <c r="X5" s="136" t="e">
        <f>#REF!</f>
        <v>#REF!</v>
      </c>
      <c r="Y5" s="136" t="e">
        <f>#REF!</f>
        <v>#REF!</v>
      </c>
      <c r="Z5" s="136" t="e">
        <f>#REF!</f>
        <v>#REF!</v>
      </c>
      <c r="AA5" s="136" t="e">
        <f>#REF!</f>
        <v>#REF!</v>
      </c>
      <c r="AB5" s="136" t="e">
        <f>#REF!</f>
        <v>#REF!</v>
      </c>
      <c r="AC5" s="136" t="e">
        <f>#REF!</f>
        <v>#REF!</v>
      </c>
      <c r="AD5" s="136"/>
      <c r="AE5" s="136"/>
    </row>
    <row r="6" spans="2:31" x14ac:dyDescent="0.2">
      <c r="B6" s="136" t="e">
        <f>#REF!</f>
        <v>#REF!</v>
      </c>
      <c r="C6" s="136" t="e">
        <f>#REF!</f>
        <v>#REF!</v>
      </c>
      <c r="D6" s="136" t="e">
        <f>#REF!</f>
        <v>#REF!</v>
      </c>
      <c r="E6" s="136" t="e">
        <f>#REF!</f>
        <v>#REF!</v>
      </c>
      <c r="F6" s="136" t="e">
        <f>#REF!</f>
        <v>#REF!</v>
      </c>
      <c r="G6" s="136" t="e">
        <f>#REF!</f>
        <v>#REF!</v>
      </c>
      <c r="H6" s="136" t="e">
        <f>#REF!</f>
        <v>#REF!</v>
      </c>
      <c r="I6" s="136" t="e">
        <f>#REF!</f>
        <v>#REF!</v>
      </c>
      <c r="J6" s="136" t="e">
        <f>#REF!</f>
        <v>#REF!</v>
      </c>
      <c r="K6" s="136" t="e">
        <f>#REF!</f>
        <v>#REF!</v>
      </c>
      <c r="L6" s="136" t="e">
        <f>#REF!</f>
        <v>#REF!</v>
      </c>
      <c r="M6" s="136" t="e">
        <f>#REF!</f>
        <v>#REF!</v>
      </c>
      <c r="N6" s="136" t="e">
        <f>#REF!</f>
        <v>#REF!</v>
      </c>
      <c r="O6" s="136" t="e">
        <f>#REF!</f>
        <v>#REF!</v>
      </c>
      <c r="P6" s="136" t="e">
        <f>#REF!</f>
        <v>#REF!</v>
      </c>
      <c r="Q6" s="136" t="e">
        <f>#REF!</f>
        <v>#REF!</v>
      </c>
      <c r="R6" s="136" t="e">
        <f>#REF!</f>
        <v>#REF!</v>
      </c>
      <c r="S6" s="136" t="e">
        <f>#REF!</f>
        <v>#REF!</v>
      </c>
      <c r="T6" s="136" t="e">
        <f>#REF!</f>
        <v>#REF!</v>
      </c>
      <c r="U6" s="136" t="e">
        <f>#REF!</f>
        <v>#REF!</v>
      </c>
      <c r="V6" s="136" t="e">
        <f>#REF!</f>
        <v>#REF!</v>
      </c>
      <c r="W6" s="136" t="e">
        <f>#REF!</f>
        <v>#REF!</v>
      </c>
      <c r="X6" s="136" t="e">
        <f>#REF!</f>
        <v>#REF!</v>
      </c>
      <c r="Y6" s="136" t="e">
        <f>#REF!</f>
        <v>#REF!</v>
      </c>
      <c r="Z6" s="136" t="e">
        <f>#REF!</f>
        <v>#REF!</v>
      </c>
      <c r="AA6" s="136" t="e">
        <f>#REF!</f>
        <v>#REF!</v>
      </c>
      <c r="AB6" s="136" t="e">
        <f>#REF!</f>
        <v>#REF!</v>
      </c>
      <c r="AC6" s="136" t="e">
        <f>#REF!</f>
        <v>#REF!</v>
      </c>
    </row>
    <row r="7" spans="2:31" x14ac:dyDescent="0.2">
      <c r="B7" s="136" t="e">
        <f>#REF!</f>
        <v>#REF!</v>
      </c>
      <c r="C7" s="136" t="e">
        <f>#REF!</f>
        <v>#REF!</v>
      </c>
      <c r="D7" s="136" t="e">
        <f>#REF!</f>
        <v>#REF!</v>
      </c>
      <c r="E7" s="136" t="e">
        <f>#REF!</f>
        <v>#REF!</v>
      </c>
      <c r="F7" s="136" t="e">
        <f>#REF!</f>
        <v>#REF!</v>
      </c>
      <c r="G7" s="136" t="e">
        <f>#REF!</f>
        <v>#REF!</v>
      </c>
      <c r="H7" s="136" t="e">
        <f>#REF!</f>
        <v>#REF!</v>
      </c>
      <c r="I7" s="136" t="e">
        <f>#REF!</f>
        <v>#REF!</v>
      </c>
      <c r="J7" s="136" t="e">
        <f>#REF!</f>
        <v>#REF!</v>
      </c>
      <c r="K7" s="136" t="e">
        <f>#REF!</f>
        <v>#REF!</v>
      </c>
      <c r="L7" s="136" t="e">
        <f>#REF!</f>
        <v>#REF!</v>
      </c>
      <c r="M7" s="136" t="e">
        <f>#REF!</f>
        <v>#REF!</v>
      </c>
      <c r="N7" s="136" t="e">
        <f>#REF!</f>
        <v>#REF!</v>
      </c>
      <c r="O7" s="136" t="e">
        <f>#REF!</f>
        <v>#REF!</v>
      </c>
      <c r="P7" s="136" t="e">
        <f>#REF!</f>
        <v>#REF!</v>
      </c>
      <c r="Q7" s="136" t="e">
        <f>#REF!</f>
        <v>#REF!</v>
      </c>
      <c r="R7" s="136" t="e">
        <f>#REF!</f>
        <v>#REF!</v>
      </c>
      <c r="S7" s="136" t="e">
        <f>#REF!</f>
        <v>#REF!</v>
      </c>
      <c r="T7" s="136" t="e">
        <f>#REF!</f>
        <v>#REF!</v>
      </c>
      <c r="U7" s="136" t="e">
        <f>#REF!</f>
        <v>#REF!</v>
      </c>
      <c r="V7" s="136" t="e">
        <f>#REF!</f>
        <v>#REF!</v>
      </c>
      <c r="W7" s="136" t="e">
        <f>#REF!</f>
        <v>#REF!</v>
      </c>
      <c r="X7" s="136" t="e">
        <f>#REF!</f>
        <v>#REF!</v>
      </c>
      <c r="Y7" s="136" t="e">
        <f>#REF!</f>
        <v>#REF!</v>
      </c>
      <c r="Z7" s="136" t="e">
        <f>#REF!</f>
        <v>#REF!</v>
      </c>
      <c r="AA7" s="136" t="e">
        <f>#REF!</f>
        <v>#REF!</v>
      </c>
      <c r="AB7" s="136" t="e">
        <f>#REF!</f>
        <v>#REF!</v>
      </c>
      <c r="AC7" s="136" t="e">
        <f>#REF!</f>
        <v>#REF!</v>
      </c>
    </row>
    <row r="8" spans="2:31" x14ac:dyDescent="0.2">
      <c r="B8" s="136" t="e">
        <f>#REF!</f>
        <v>#REF!</v>
      </c>
      <c r="C8" s="136" t="e">
        <f>#REF!</f>
        <v>#REF!</v>
      </c>
      <c r="D8" s="136" t="e">
        <f>#REF!</f>
        <v>#REF!</v>
      </c>
      <c r="E8" s="136" t="e">
        <f>#REF!</f>
        <v>#REF!</v>
      </c>
      <c r="F8" s="136" t="e">
        <f>#REF!</f>
        <v>#REF!</v>
      </c>
      <c r="G8" s="136" t="e">
        <f>#REF!</f>
        <v>#REF!</v>
      </c>
      <c r="H8" s="136" t="e">
        <f>#REF!</f>
        <v>#REF!</v>
      </c>
      <c r="I8" s="136" t="e">
        <f>#REF!</f>
        <v>#REF!</v>
      </c>
      <c r="J8" s="136" t="e">
        <f>#REF!</f>
        <v>#REF!</v>
      </c>
      <c r="K8" s="136" t="e">
        <f>#REF!</f>
        <v>#REF!</v>
      </c>
      <c r="L8" s="136" t="e">
        <f>#REF!</f>
        <v>#REF!</v>
      </c>
      <c r="M8" s="136" t="e">
        <f>#REF!</f>
        <v>#REF!</v>
      </c>
      <c r="N8" s="136" t="e">
        <f>#REF!</f>
        <v>#REF!</v>
      </c>
      <c r="O8" s="136" t="e">
        <f>#REF!</f>
        <v>#REF!</v>
      </c>
      <c r="P8" s="136" t="e">
        <f>#REF!</f>
        <v>#REF!</v>
      </c>
      <c r="Q8" s="136" t="e">
        <f>#REF!</f>
        <v>#REF!</v>
      </c>
      <c r="R8" s="136" t="e">
        <f>#REF!</f>
        <v>#REF!</v>
      </c>
      <c r="S8" s="136" t="e">
        <f>#REF!</f>
        <v>#REF!</v>
      </c>
      <c r="T8" s="136" t="e">
        <f>#REF!</f>
        <v>#REF!</v>
      </c>
      <c r="U8" s="136" t="e">
        <f>#REF!</f>
        <v>#REF!</v>
      </c>
      <c r="V8" s="136" t="e">
        <f>#REF!</f>
        <v>#REF!</v>
      </c>
      <c r="W8" s="136" t="e">
        <f>#REF!</f>
        <v>#REF!</v>
      </c>
      <c r="X8" s="136" t="e">
        <f>#REF!</f>
        <v>#REF!</v>
      </c>
      <c r="Y8" s="136" t="e">
        <f>#REF!</f>
        <v>#REF!</v>
      </c>
      <c r="Z8" s="136" t="e">
        <f>#REF!</f>
        <v>#REF!</v>
      </c>
      <c r="AA8" s="136" t="e">
        <f>#REF!</f>
        <v>#REF!</v>
      </c>
      <c r="AB8" s="136" t="e">
        <f>#REF!</f>
        <v>#REF!</v>
      </c>
      <c r="AC8" s="136" t="e">
        <f>#REF!</f>
        <v>#REF!</v>
      </c>
    </row>
    <row r="9" spans="2:31" x14ac:dyDescent="0.2">
      <c r="B9" s="136" t="e">
        <f>#REF!</f>
        <v>#REF!</v>
      </c>
      <c r="C9" s="136" t="e">
        <f>#REF!</f>
        <v>#REF!</v>
      </c>
      <c r="D9" s="136" t="e">
        <f>#REF!</f>
        <v>#REF!</v>
      </c>
      <c r="E9" s="136" t="e">
        <f>#REF!</f>
        <v>#REF!</v>
      </c>
      <c r="F9" s="136" t="e">
        <f>#REF!</f>
        <v>#REF!</v>
      </c>
      <c r="G9" s="136" t="e">
        <f>#REF!</f>
        <v>#REF!</v>
      </c>
      <c r="H9" s="136" t="e">
        <f>#REF!</f>
        <v>#REF!</v>
      </c>
      <c r="I9" s="136" t="e">
        <f>#REF!</f>
        <v>#REF!</v>
      </c>
      <c r="J9" s="136" t="e">
        <f>#REF!</f>
        <v>#REF!</v>
      </c>
      <c r="K9" s="136" t="e">
        <f>#REF!</f>
        <v>#REF!</v>
      </c>
      <c r="L9" s="136" t="e">
        <f>#REF!</f>
        <v>#REF!</v>
      </c>
      <c r="M9" s="136" t="e">
        <f>#REF!</f>
        <v>#REF!</v>
      </c>
      <c r="N9" s="136" t="e">
        <f>#REF!</f>
        <v>#REF!</v>
      </c>
      <c r="O9" s="136" t="e">
        <f>#REF!</f>
        <v>#REF!</v>
      </c>
      <c r="P9" s="136" t="e">
        <f>#REF!</f>
        <v>#REF!</v>
      </c>
      <c r="Q9" s="136" t="e">
        <f>#REF!</f>
        <v>#REF!</v>
      </c>
      <c r="R9" s="136" t="e">
        <f>#REF!</f>
        <v>#REF!</v>
      </c>
      <c r="S9" s="136" t="e">
        <f>#REF!</f>
        <v>#REF!</v>
      </c>
      <c r="T9" s="136" t="e">
        <f>#REF!</f>
        <v>#REF!</v>
      </c>
      <c r="U9" s="136" t="e">
        <f>#REF!</f>
        <v>#REF!</v>
      </c>
      <c r="V9" s="136" t="e">
        <f>#REF!</f>
        <v>#REF!</v>
      </c>
      <c r="W9" s="136" t="e">
        <f>#REF!</f>
        <v>#REF!</v>
      </c>
      <c r="X9" s="136" t="e">
        <f>#REF!</f>
        <v>#REF!</v>
      </c>
      <c r="Y9" s="136" t="e">
        <f>#REF!</f>
        <v>#REF!</v>
      </c>
      <c r="Z9" s="136" t="e">
        <f>#REF!</f>
        <v>#REF!</v>
      </c>
      <c r="AA9" s="136" t="e">
        <f>#REF!</f>
        <v>#REF!</v>
      </c>
      <c r="AB9" s="136" t="e">
        <f>#REF!</f>
        <v>#REF!</v>
      </c>
      <c r="AC9" s="136" t="e">
        <f>#REF!</f>
        <v>#REF!</v>
      </c>
    </row>
    <row r="10" spans="2:31" x14ac:dyDescent="0.2">
      <c r="B10" s="136" t="e">
        <f>#REF!</f>
        <v>#REF!</v>
      </c>
      <c r="C10" s="136" t="e">
        <f>#REF!</f>
        <v>#REF!</v>
      </c>
      <c r="D10" s="136" t="e">
        <f>#REF!</f>
        <v>#REF!</v>
      </c>
      <c r="E10" s="136" t="e">
        <f>#REF!</f>
        <v>#REF!</v>
      </c>
      <c r="F10" s="136" t="e">
        <f>#REF!</f>
        <v>#REF!</v>
      </c>
      <c r="G10" s="136" t="e">
        <f>#REF!</f>
        <v>#REF!</v>
      </c>
      <c r="H10" s="136" t="e">
        <f>#REF!</f>
        <v>#REF!</v>
      </c>
      <c r="I10" s="136" t="e">
        <f>#REF!</f>
        <v>#REF!</v>
      </c>
      <c r="J10" s="136" t="e">
        <f>#REF!</f>
        <v>#REF!</v>
      </c>
      <c r="K10" s="136" t="e">
        <f>#REF!</f>
        <v>#REF!</v>
      </c>
      <c r="L10" s="136" t="e">
        <f>#REF!</f>
        <v>#REF!</v>
      </c>
      <c r="M10" s="136" t="e">
        <f>#REF!</f>
        <v>#REF!</v>
      </c>
      <c r="N10" s="136" t="e">
        <f>#REF!</f>
        <v>#REF!</v>
      </c>
      <c r="O10" s="136" t="e">
        <f>#REF!</f>
        <v>#REF!</v>
      </c>
      <c r="P10" s="136" t="e">
        <f>#REF!</f>
        <v>#REF!</v>
      </c>
      <c r="Q10" s="136" t="e">
        <f>#REF!</f>
        <v>#REF!</v>
      </c>
      <c r="R10" s="136" t="e">
        <f>#REF!</f>
        <v>#REF!</v>
      </c>
      <c r="S10" s="136" t="e">
        <f>#REF!</f>
        <v>#REF!</v>
      </c>
      <c r="T10" s="136" t="e">
        <f>#REF!</f>
        <v>#REF!</v>
      </c>
      <c r="U10" s="136" t="e">
        <f>#REF!</f>
        <v>#REF!</v>
      </c>
      <c r="V10" s="136" t="e">
        <f>#REF!</f>
        <v>#REF!</v>
      </c>
      <c r="W10" s="136" t="e">
        <f>#REF!</f>
        <v>#REF!</v>
      </c>
      <c r="X10" s="136" t="e">
        <f>#REF!</f>
        <v>#REF!</v>
      </c>
      <c r="Y10" s="136" t="e">
        <f>#REF!</f>
        <v>#REF!</v>
      </c>
      <c r="Z10" s="136" t="e">
        <f>#REF!</f>
        <v>#REF!</v>
      </c>
      <c r="AA10" s="136" t="e">
        <f>#REF!</f>
        <v>#REF!</v>
      </c>
      <c r="AB10" s="136" t="e">
        <f>#REF!</f>
        <v>#REF!</v>
      </c>
      <c r="AC10" s="136" t="e">
        <f>#REF!</f>
        <v>#REF!</v>
      </c>
    </row>
    <row r="11" spans="2:31" x14ac:dyDescent="0.2">
      <c r="B11" s="136" t="e">
        <f>#REF!</f>
        <v>#REF!</v>
      </c>
      <c r="C11" s="136" t="e">
        <f>#REF!</f>
        <v>#REF!</v>
      </c>
      <c r="D11" s="136" t="e">
        <f>#REF!</f>
        <v>#REF!</v>
      </c>
      <c r="E11" s="136" t="e">
        <f>#REF!</f>
        <v>#REF!</v>
      </c>
      <c r="F11" s="136" t="e">
        <f>#REF!</f>
        <v>#REF!</v>
      </c>
      <c r="G11" s="136" t="e">
        <f>#REF!</f>
        <v>#REF!</v>
      </c>
      <c r="H11" s="136" t="e">
        <f>#REF!</f>
        <v>#REF!</v>
      </c>
      <c r="I11" s="136" t="e">
        <f>#REF!</f>
        <v>#REF!</v>
      </c>
      <c r="J11" s="136" t="e">
        <f>#REF!</f>
        <v>#REF!</v>
      </c>
      <c r="K11" s="136" t="e">
        <f>#REF!</f>
        <v>#REF!</v>
      </c>
      <c r="L11" s="136" t="e">
        <f>#REF!</f>
        <v>#REF!</v>
      </c>
      <c r="M11" s="136" t="e">
        <f>#REF!</f>
        <v>#REF!</v>
      </c>
      <c r="N11" s="136" t="e">
        <f>#REF!</f>
        <v>#REF!</v>
      </c>
      <c r="O11" s="136" t="e">
        <f>#REF!</f>
        <v>#REF!</v>
      </c>
      <c r="P11" s="136" t="e">
        <f>#REF!</f>
        <v>#REF!</v>
      </c>
      <c r="Q11" s="136" t="e">
        <f>#REF!</f>
        <v>#REF!</v>
      </c>
      <c r="R11" s="136" t="e">
        <f>#REF!</f>
        <v>#REF!</v>
      </c>
      <c r="S11" s="136" t="e">
        <f>#REF!</f>
        <v>#REF!</v>
      </c>
      <c r="T11" s="136" t="e">
        <f>#REF!</f>
        <v>#REF!</v>
      </c>
      <c r="U11" s="136" t="e">
        <f>#REF!</f>
        <v>#REF!</v>
      </c>
      <c r="V11" s="136" t="e">
        <f>#REF!</f>
        <v>#REF!</v>
      </c>
      <c r="W11" s="136" t="e">
        <f>#REF!</f>
        <v>#REF!</v>
      </c>
      <c r="X11" s="136" t="e">
        <f>#REF!</f>
        <v>#REF!</v>
      </c>
      <c r="Y11" s="136" t="e">
        <f>#REF!</f>
        <v>#REF!</v>
      </c>
      <c r="Z11" s="136" t="e">
        <f>#REF!</f>
        <v>#REF!</v>
      </c>
      <c r="AA11" s="136" t="e">
        <f>#REF!</f>
        <v>#REF!</v>
      </c>
      <c r="AB11" s="136" t="e">
        <f>#REF!</f>
        <v>#REF!</v>
      </c>
      <c r="AC11" s="136" t="e">
        <f>#REF!</f>
        <v>#REF!</v>
      </c>
    </row>
    <row r="12" spans="2:31" x14ac:dyDescent="0.2">
      <c r="B12" s="136" t="e">
        <f>#REF!</f>
        <v>#REF!</v>
      </c>
      <c r="C12" s="136" t="e">
        <f>#REF!</f>
        <v>#REF!</v>
      </c>
      <c r="D12" s="136" t="e">
        <f>#REF!</f>
        <v>#REF!</v>
      </c>
      <c r="E12" s="136" t="e">
        <f>#REF!</f>
        <v>#REF!</v>
      </c>
      <c r="F12" s="136" t="e">
        <f>#REF!</f>
        <v>#REF!</v>
      </c>
      <c r="G12" s="136" t="e">
        <f>#REF!</f>
        <v>#REF!</v>
      </c>
      <c r="H12" s="136" t="e">
        <f>#REF!</f>
        <v>#REF!</v>
      </c>
      <c r="I12" s="136" t="e">
        <f>#REF!</f>
        <v>#REF!</v>
      </c>
      <c r="J12" s="136" t="e">
        <f>#REF!</f>
        <v>#REF!</v>
      </c>
      <c r="K12" s="136" t="e">
        <f>#REF!</f>
        <v>#REF!</v>
      </c>
      <c r="L12" s="136" t="e">
        <f>#REF!</f>
        <v>#REF!</v>
      </c>
      <c r="M12" s="136" t="e">
        <f>#REF!</f>
        <v>#REF!</v>
      </c>
      <c r="N12" s="136" t="e">
        <f>#REF!</f>
        <v>#REF!</v>
      </c>
      <c r="O12" s="136" t="e">
        <f>#REF!</f>
        <v>#REF!</v>
      </c>
      <c r="P12" s="136" t="e">
        <f>#REF!</f>
        <v>#REF!</v>
      </c>
      <c r="Q12" s="136" t="e">
        <f>#REF!</f>
        <v>#REF!</v>
      </c>
      <c r="R12" s="136" t="e">
        <f>#REF!</f>
        <v>#REF!</v>
      </c>
      <c r="S12" s="136" t="e">
        <f>#REF!</f>
        <v>#REF!</v>
      </c>
      <c r="T12" s="136" t="e">
        <f>#REF!</f>
        <v>#REF!</v>
      </c>
      <c r="U12" s="136" t="e">
        <f>#REF!</f>
        <v>#REF!</v>
      </c>
      <c r="V12" s="136" t="e">
        <f>#REF!</f>
        <v>#REF!</v>
      </c>
      <c r="W12" s="136" t="e">
        <f>#REF!</f>
        <v>#REF!</v>
      </c>
      <c r="X12" s="136" t="e">
        <f>#REF!</f>
        <v>#REF!</v>
      </c>
      <c r="Y12" s="136" t="e">
        <f>#REF!</f>
        <v>#REF!</v>
      </c>
      <c r="Z12" s="136" t="e">
        <f>#REF!</f>
        <v>#REF!</v>
      </c>
      <c r="AA12" s="136" t="e">
        <f>#REF!</f>
        <v>#REF!</v>
      </c>
      <c r="AB12" s="136" t="e">
        <f>#REF!</f>
        <v>#REF!</v>
      </c>
      <c r="AC12" s="136" t="e">
        <f>#REF!</f>
        <v>#REF!</v>
      </c>
    </row>
    <row r="13" spans="2:31" x14ac:dyDescent="0.2">
      <c r="B13" s="136" t="e">
        <f>#REF!</f>
        <v>#REF!</v>
      </c>
      <c r="C13" s="136" t="e">
        <f>#REF!</f>
        <v>#REF!</v>
      </c>
      <c r="D13" s="136" t="e">
        <f>#REF!</f>
        <v>#REF!</v>
      </c>
      <c r="E13" s="136" t="e">
        <f>#REF!</f>
        <v>#REF!</v>
      </c>
      <c r="F13" s="136" t="e">
        <f>#REF!</f>
        <v>#REF!</v>
      </c>
      <c r="G13" s="136" t="e">
        <f>#REF!</f>
        <v>#REF!</v>
      </c>
      <c r="H13" s="136" t="e">
        <f>#REF!</f>
        <v>#REF!</v>
      </c>
      <c r="I13" s="136" t="e">
        <f>#REF!</f>
        <v>#REF!</v>
      </c>
      <c r="J13" s="136" t="e">
        <f>#REF!</f>
        <v>#REF!</v>
      </c>
      <c r="K13" s="136" t="e">
        <f>#REF!</f>
        <v>#REF!</v>
      </c>
      <c r="L13" s="136" t="e">
        <f>#REF!</f>
        <v>#REF!</v>
      </c>
      <c r="M13" s="136" t="e">
        <f>#REF!</f>
        <v>#REF!</v>
      </c>
      <c r="N13" s="136" t="e">
        <f>#REF!</f>
        <v>#REF!</v>
      </c>
      <c r="O13" s="136" t="e">
        <f>#REF!</f>
        <v>#REF!</v>
      </c>
      <c r="P13" s="136" t="e">
        <f>#REF!</f>
        <v>#REF!</v>
      </c>
      <c r="Q13" s="136" t="e">
        <f>#REF!</f>
        <v>#REF!</v>
      </c>
      <c r="R13" s="136" t="e">
        <f>#REF!</f>
        <v>#REF!</v>
      </c>
      <c r="S13" s="136" t="e">
        <f>#REF!</f>
        <v>#REF!</v>
      </c>
      <c r="T13" s="136" t="e">
        <f>#REF!</f>
        <v>#REF!</v>
      </c>
      <c r="U13" s="136" t="e">
        <f>#REF!</f>
        <v>#REF!</v>
      </c>
      <c r="V13" s="136" t="e">
        <f>#REF!</f>
        <v>#REF!</v>
      </c>
      <c r="W13" s="136" t="e">
        <f>#REF!</f>
        <v>#REF!</v>
      </c>
      <c r="X13" s="136" t="e">
        <f>#REF!</f>
        <v>#REF!</v>
      </c>
      <c r="Y13" s="136" t="e">
        <f>#REF!</f>
        <v>#REF!</v>
      </c>
      <c r="Z13" s="136" t="e">
        <f>#REF!</f>
        <v>#REF!</v>
      </c>
      <c r="AA13" s="136" t="e">
        <f>#REF!</f>
        <v>#REF!</v>
      </c>
      <c r="AB13" s="136" t="e">
        <f>#REF!</f>
        <v>#REF!</v>
      </c>
      <c r="AC13" s="136" t="e">
        <f>#REF!</f>
        <v>#REF!</v>
      </c>
    </row>
    <row r="14" spans="2:31" x14ac:dyDescent="0.2">
      <c r="B14" s="136" t="e">
        <f>#REF!</f>
        <v>#REF!</v>
      </c>
      <c r="C14" s="136" t="e">
        <f>#REF!</f>
        <v>#REF!</v>
      </c>
      <c r="D14" s="136" t="e">
        <f>#REF!</f>
        <v>#REF!</v>
      </c>
      <c r="E14" s="136" t="e">
        <f>#REF!</f>
        <v>#REF!</v>
      </c>
      <c r="F14" s="136" t="e">
        <f>#REF!</f>
        <v>#REF!</v>
      </c>
      <c r="G14" s="136" t="e">
        <f>#REF!</f>
        <v>#REF!</v>
      </c>
      <c r="H14" s="136" t="e">
        <f>#REF!</f>
        <v>#REF!</v>
      </c>
      <c r="I14" s="136" t="e">
        <f>#REF!</f>
        <v>#REF!</v>
      </c>
      <c r="J14" s="136" t="e">
        <f>#REF!</f>
        <v>#REF!</v>
      </c>
      <c r="K14" s="136" t="e">
        <f>#REF!</f>
        <v>#REF!</v>
      </c>
      <c r="L14" s="136" t="e">
        <f>#REF!</f>
        <v>#REF!</v>
      </c>
      <c r="M14" s="136" t="e">
        <f>#REF!</f>
        <v>#REF!</v>
      </c>
      <c r="N14" s="136" t="e">
        <f>#REF!</f>
        <v>#REF!</v>
      </c>
      <c r="O14" s="136" t="e">
        <f>#REF!</f>
        <v>#REF!</v>
      </c>
      <c r="P14" s="136" t="e">
        <f>#REF!</f>
        <v>#REF!</v>
      </c>
      <c r="Q14" s="136" t="e">
        <f>#REF!</f>
        <v>#REF!</v>
      </c>
      <c r="R14" s="136" t="e">
        <f>#REF!</f>
        <v>#REF!</v>
      </c>
      <c r="S14" s="136" t="e">
        <f>#REF!</f>
        <v>#REF!</v>
      </c>
      <c r="T14" s="136" t="e">
        <f>#REF!</f>
        <v>#REF!</v>
      </c>
      <c r="U14" s="136" t="e">
        <f>#REF!</f>
        <v>#REF!</v>
      </c>
      <c r="V14" s="136" t="e">
        <f>#REF!</f>
        <v>#REF!</v>
      </c>
      <c r="W14" s="136" t="e">
        <f>#REF!</f>
        <v>#REF!</v>
      </c>
      <c r="X14" s="136" t="e">
        <f>#REF!</f>
        <v>#REF!</v>
      </c>
      <c r="Y14" s="136" t="e">
        <f>#REF!</f>
        <v>#REF!</v>
      </c>
      <c r="Z14" s="136" t="e">
        <f>#REF!</f>
        <v>#REF!</v>
      </c>
      <c r="AA14" s="136" t="e">
        <f>#REF!</f>
        <v>#REF!</v>
      </c>
      <c r="AB14" s="136" t="e">
        <f>#REF!</f>
        <v>#REF!</v>
      </c>
      <c r="AC14" s="136" t="e">
        <f>#REF!</f>
        <v>#REF!</v>
      </c>
    </row>
    <row r="15" spans="2:31" x14ac:dyDescent="0.2">
      <c r="B15" s="136"/>
    </row>
    <row r="16" spans="2:31" x14ac:dyDescent="0.2">
      <c r="B16" s="136"/>
    </row>
    <row r="17" spans="1:31" x14ac:dyDescent="0.2">
      <c r="A17" s="136" t="e">
        <f>#REF!</f>
        <v>#REF!</v>
      </c>
      <c r="B17" s="136" t="e">
        <f>#REF!</f>
        <v>#REF!</v>
      </c>
      <c r="C17" s="136" t="e">
        <f>#REF!</f>
        <v>#REF!</v>
      </c>
      <c r="D17" s="136" t="e">
        <f>#REF!</f>
        <v>#REF!</v>
      </c>
      <c r="E17" s="136" t="e">
        <f>#REF!</f>
        <v>#REF!</v>
      </c>
      <c r="F17" s="136" t="e">
        <f>#REF!</f>
        <v>#REF!</v>
      </c>
      <c r="G17" s="136" t="e">
        <f>#REF!</f>
        <v>#REF!</v>
      </c>
      <c r="H17" s="136" t="e">
        <f>#REF!</f>
        <v>#REF!</v>
      </c>
      <c r="I17" s="136" t="e">
        <f>#REF!</f>
        <v>#REF!</v>
      </c>
      <c r="J17" s="136" t="e">
        <f>#REF!</f>
        <v>#REF!</v>
      </c>
      <c r="K17" s="136" t="e">
        <f>#REF!</f>
        <v>#REF!</v>
      </c>
      <c r="L17" s="136" t="e">
        <f>#REF!</f>
        <v>#REF!</v>
      </c>
      <c r="M17" s="136" t="e">
        <f>#REF!</f>
        <v>#REF!</v>
      </c>
      <c r="N17" s="136" t="e">
        <f>#REF!</f>
        <v>#REF!</v>
      </c>
      <c r="O17" s="136" t="e">
        <f>#REF!</f>
        <v>#REF!</v>
      </c>
      <c r="P17" s="136" t="e">
        <f>#REF!</f>
        <v>#REF!</v>
      </c>
      <c r="Q17" s="136" t="e">
        <f>#REF!</f>
        <v>#REF!</v>
      </c>
      <c r="R17" s="136" t="e">
        <f>#REF!</f>
        <v>#REF!</v>
      </c>
      <c r="S17" s="136" t="e">
        <f>#REF!</f>
        <v>#REF!</v>
      </c>
      <c r="T17" s="136" t="e">
        <f>#REF!</f>
        <v>#REF!</v>
      </c>
      <c r="U17" s="136" t="e">
        <f>#REF!</f>
        <v>#REF!</v>
      </c>
      <c r="V17" s="136" t="e">
        <f>#REF!</f>
        <v>#REF!</v>
      </c>
      <c r="W17" s="136" t="e">
        <f>#REF!</f>
        <v>#REF!</v>
      </c>
      <c r="X17" s="136" t="e">
        <f>#REF!</f>
        <v>#REF!</v>
      </c>
      <c r="Y17" s="136" t="e">
        <f>#REF!</f>
        <v>#REF!</v>
      </c>
      <c r="Z17" s="136" t="e">
        <f>#REF!</f>
        <v>#REF!</v>
      </c>
      <c r="AA17" s="136" t="e">
        <f>#REF!</f>
        <v>#REF!</v>
      </c>
      <c r="AB17" s="136" t="e">
        <f>#REF!</f>
        <v>#REF!</v>
      </c>
      <c r="AC17" s="136" t="e">
        <f>#REF!</f>
        <v>#REF!</v>
      </c>
      <c r="AD17" s="136" t="e">
        <f>#REF!</f>
        <v>#REF!</v>
      </c>
      <c r="AE17" s="136" t="e">
        <f>#REF!</f>
        <v>#REF!</v>
      </c>
    </row>
    <row r="18" spans="1:31" x14ac:dyDescent="0.2">
      <c r="A18" s="136" t="e">
        <f>#REF!</f>
        <v>#REF!</v>
      </c>
      <c r="B18" s="136" t="e">
        <f>#REF!</f>
        <v>#REF!</v>
      </c>
      <c r="C18" s="136" t="e">
        <f>#REF!</f>
        <v>#REF!</v>
      </c>
      <c r="D18" s="136" t="e">
        <f>#REF!</f>
        <v>#REF!</v>
      </c>
      <c r="E18" s="136" t="e">
        <f>#REF!</f>
        <v>#REF!</v>
      </c>
      <c r="F18" s="136" t="e">
        <f>#REF!</f>
        <v>#REF!</v>
      </c>
      <c r="G18" s="136" t="e">
        <f>#REF!</f>
        <v>#REF!</v>
      </c>
      <c r="H18" s="136" t="e">
        <f>#REF!</f>
        <v>#REF!</v>
      </c>
      <c r="I18" s="136" t="e">
        <f>#REF!</f>
        <v>#REF!</v>
      </c>
      <c r="J18" s="136" t="e">
        <f>#REF!</f>
        <v>#REF!</v>
      </c>
      <c r="K18" s="136" t="e">
        <f>#REF!</f>
        <v>#REF!</v>
      </c>
      <c r="L18" s="136" t="e">
        <f>#REF!</f>
        <v>#REF!</v>
      </c>
      <c r="M18" s="136" t="e">
        <f>#REF!</f>
        <v>#REF!</v>
      </c>
      <c r="N18" s="136" t="e">
        <f>#REF!</f>
        <v>#REF!</v>
      </c>
      <c r="O18" s="136" t="e">
        <f>#REF!</f>
        <v>#REF!</v>
      </c>
      <c r="P18" s="136" t="e">
        <f>#REF!</f>
        <v>#REF!</v>
      </c>
      <c r="Q18" s="136" t="e">
        <f>#REF!</f>
        <v>#REF!</v>
      </c>
      <c r="R18" s="136" t="e">
        <f>#REF!</f>
        <v>#REF!</v>
      </c>
      <c r="S18" s="136" t="e">
        <f>#REF!</f>
        <v>#REF!</v>
      </c>
      <c r="T18" s="136" t="e">
        <f>#REF!</f>
        <v>#REF!</v>
      </c>
      <c r="U18" s="136" t="e">
        <f>#REF!</f>
        <v>#REF!</v>
      </c>
      <c r="V18" s="136" t="e">
        <f>#REF!</f>
        <v>#REF!</v>
      </c>
      <c r="W18" s="136" t="e">
        <f>#REF!</f>
        <v>#REF!</v>
      </c>
      <c r="X18" s="136" t="e">
        <f>#REF!</f>
        <v>#REF!</v>
      </c>
      <c r="Y18" s="136" t="e">
        <f>#REF!</f>
        <v>#REF!</v>
      </c>
      <c r="Z18" s="136" t="e">
        <f>#REF!</f>
        <v>#REF!</v>
      </c>
      <c r="AA18" s="136" t="e">
        <f>#REF!</f>
        <v>#REF!</v>
      </c>
      <c r="AB18" s="136" t="e">
        <f>#REF!</f>
        <v>#REF!</v>
      </c>
      <c r="AC18" s="136" t="e">
        <f>#REF!</f>
        <v>#REF!</v>
      </c>
      <c r="AD18" s="136" t="e">
        <f>#REF!</f>
        <v>#REF!</v>
      </c>
      <c r="AE18" s="136" t="e">
        <f>#REF!</f>
        <v>#REF!</v>
      </c>
    </row>
    <row r="19" spans="1:31" x14ac:dyDescent="0.2">
      <c r="A19" s="136" t="e">
        <f>#REF!</f>
        <v>#REF!</v>
      </c>
      <c r="B19" s="136" t="e">
        <f>#REF!</f>
        <v>#REF!</v>
      </c>
      <c r="C19" s="136" t="e">
        <f>#REF!</f>
        <v>#REF!</v>
      </c>
      <c r="D19" s="136" t="e">
        <f>#REF!</f>
        <v>#REF!</v>
      </c>
      <c r="E19" s="136" t="e">
        <f>#REF!</f>
        <v>#REF!</v>
      </c>
      <c r="F19" s="136" t="e">
        <f>#REF!</f>
        <v>#REF!</v>
      </c>
      <c r="G19" s="136" t="e">
        <f>#REF!</f>
        <v>#REF!</v>
      </c>
      <c r="H19" s="136" t="e">
        <f>#REF!</f>
        <v>#REF!</v>
      </c>
      <c r="I19" s="136" t="e">
        <f>#REF!</f>
        <v>#REF!</v>
      </c>
      <c r="J19" s="136" t="e">
        <f>#REF!</f>
        <v>#REF!</v>
      </c>
      <c r="K19" s="136" t="e">
        <f>#REF!</f>
        <v>#REF!</v>
      </c>
      <c r="L19" s="136" t="e">
        <f>#REF!</f>
        <v>#REF!</v>
      </c>
      <c r="M19" s="136" t="e">
        <f>#REF!</f>
        <v>#REF!</v>
      </c>
      <c r="N19" s="136" t="e">
        <f>#REF!</f>
        <v>#REF!</v>
      </c>
      <c r="O19" s="136" t="e">
        <f>#REF!</f>
        <v>#REF!</v>
      </c>
      <c r="P19" s="136" t="e">
        <f>#REF!</f>
        <v>#REF!</v>
      </c>
      <c r="Q19" s="136" t="e">
        <f>#REF!</f>
        <v>#REF!</v>
      </c>
      <c r="R19" s="136" t="e">
        <f>#REF!</f>
        <v>#REF!</v>
      </c>
      <c r="S19" s="136" t="e">
        <f>#REF!</f>
        <v>#REF!</v>
      </c>
      <c r="T19" s="136" t="e">
        <f>#REF!</f>
        <v>#REF!</v>
      </c>
      <c r="U19" s="136" t="e">
        <f>#REF!</f>
        <v>#REF!</v>
      </c>
      <c r="V19" s="136" t="e">
        <f>#REF!</f>
        <v>#REF!</v>
      </c>
      <c r="W19" s="136" t="e">
        <f>#REF!</f>
        <v>#REF!</v>
      </c>
      <c r="X19" s="136" t="e">
        <f>#REF!</f>
        <v>#REF!</v>
      </c>
      <c r="Y19" s="136" t="e">
        <f>#REF!</f>
        <v>#REF!</v>
      </c>
      <c r="Z19" s="136" t="e">
        <f>#REF!</f>
        <v>#REF!</v>
      </c>
      <c r="AA19" s="136" t="e">
        <f>#REF!</f>
        <v>#REF!</v>
      </c>
      <c r="AB19" s="136" t="e">
        <f>#REF!</f>
        <v>#REF!</v>
      </c>
      <c r="AC19" s="136" t="e">
        <f>#REF!</f>
        <v>#REF!</v>
      </c>
      <c r="AD19" s="136" t="e">
        <f>#REF!</f>
        <v>#REF!</v>
      </c>
      <c r="AE19" s="136" t="e">
        <f>#REF!</f>
        <v>#REF!</v>
      </c>
    </row>
    <row r="20" spans="1:31" x14ac:dyDescent="0.2">
      <c r="A20" s="136" t="e">
        <f>#REF!</f>
        <v>#REF!</v>
      </c>
      <c r="B20" s="136" t="e">
        <f>#REF!</f>
        <v>#REF!</v>
      </c>
      <c r="C20" s="136" t="e">
        <f>#REF!</f>
        <v>#REF!</v>
      </c>
      <c r="D20" s="136" t="e">
        <f>#REF!</f>
        <v>#REF!</v>
      </c>
      <c r="E20" s="136" t="e">
        <f>#REF!</f>
        <v>#REF!</v>
      </c>
      <c r="F20" s="136" t="e">
        <f>#REF!</f>
        <v>#REF!</v>
      </c>
      <c r="G20" s="136" t="e">
        <f>#REF!</f>
        <v>#REF!</v>
      </c>
      <c r="H20" s="136" t="e">
        <f>#REF!</f>
        <v>#REF!</v>
      </c>
      <c r="I20" s="136" t="e">
        <f>#REF!</f>
        <v>#REF!</v>
      </c>
      <c r="J20" s="136" t="e">
        <f>#REF!</f>
        <v>#REF!</v>
      </c>
      <c r="K20" s="136" t="e">
        <f>#REF!</f>
        <v>#REF!</v>
      </c>
      <c r="L20" s="136" t="e">
        <f>#REF!</f>
        <v>#REF!</v>
      </c>
      <c r="M20" s="136" t="e">
        <f>#REF!</f>
        <v>#REF!</v>
      </c>
      <c r="N20" s="136" t="e">
        <f>#REF!</f>
        <v>#REF!</v>
      </c>
      <c r="O20" s="136" t="e">
        <f>#REF!</f>
        <v>#REF!</v>
      </c>
      <c r="P20" s="136" t="e">
        <f>#REF!</f>
        <v>#REF!</v>
      </c>
      <c r="Q20" s="136" t="e">
        <f>#REF!</f>
        <v>#REF!</v>
      </c>
      <c r="R20" s="136" t="e">
        <f>#REF!</f>
        <v>#REF!</v>
      </c>
      <c r="S20" s="136" t="e">
        <f>#REF!</f>
        <v>#REF!</v>
      </c>
      <c r="T20" s="136" t="e">
        <f>#REF!</f>
        <v>#REF!</v>
      </c>
      <c r="U20" s="136" t="e">
        <f>#REF!</f>
        <v>#REF!</v>
      </c>
      <c r="V20" s="136" t="e">
        <f>#REF!</f>
        <v>#REF!</v>
      </c>
      <c r="W20" s="136" t="e">
        <f>#REF!</f>
        <v>#REF!</v>
      </c>
      <c r="X20" s="136" t="e">
        <f>#REF!</f>
        <v>#REF!</v>
      </c>
      <c r="Y20" s="136" t="e">
        <f>#REF!</f>
        <v>#REF!</v>
      </c>
      <c r="Z20" s="136" t="e">
        <f>#REF!</f>
        <v>#REF!</v>
      </c>
      <c r="AA20" s="136" t="e">
        <f>#REF!</f>
        <v>#REF!</v>
      </c>
      <c r="AB20" s="136" t="e">
        <f>#REF!</f>
        <v>#REF!</v>
      </c>
      <c r="AC20" s="136" t="e">
        <f>#REF!</f>
        <v>#REF!</v>
      </c>
      <c r="AD20" s="136" t="e">
        <f>#REF!</f>
        <v>#REF!</v>
      </c>
      <c r="AE20" s="136" t="e">
        <f>#REF!</f>
        <v>#REF!</v>
      </c>
    </row>
    <row r="21" spans="1:31" x14ac:dyDescent="0.2">
      <c r="A21" s="136" t="e">
        <f>#REF!</f>
        <v>#REF!</v>
      </c>
      <c r="B21" s="136" t="e">
        <f>#REF!</f>
        <v>#REF!</v>
      </c>
      <c r="C21" s="136" t="e">
        <f>#REF!</f>
        <v>#REF!</v>
      </c>
      <c r="D21" s="136" t="e">
        <f>#REF!</f>
        <v>#REF!</v>
      </c>
      <c r="E21" s="136" t="e">
        <f>#REF!</f>
        <v>#REF!</v>
      </c>
      <c r="F21" s="136" t="e">
        <f>#REF!</f>
        <v>#REF!</v>
      </c>
      <c r="G21" s="136" t="e">
        <f>#REF!</f>
        <v>#REF!</v>
      </c>
      <c r="H21" s="136" t="e">
        <f>#REF!</f>
        <v>#REF!</v>
      </c>
      <c r="I21" s="136" t="e">
        <f>#REF!</f>
        <v>#REF!</v>
      </c>
      <c r="J21" s="136" t="e">
        <f>#REF!</f>
        <v>#REF!</v>
      </c>
      <c r="K21" s="136" t="e">
        <f>#REF!</f>
        <v>#REF!</v>
      </c>
      <c r="L21" s="136" t="e">
        <f>#REF!</f>
        <v>#REF!</v>
      </c>
      <c r="M21" s="136" t="e">
        <f>#REF!</f>
        <v>#REF!</v>
      </c>
      <c r="N21" s="136" t="e">
        <f>#REF!</f>
        <v>#REF!</v>
      </c>
      <c r="O21" s="136" t="e">
        <f>#REF!</f>
        <v>#REF!</v>
      </c>
      <c r="P21" s="136" t="e">
        <f>#REF!</f>
        <v>#REF!</v>
      </c>
      <c r="Q21" s="136" t="e">
        <f>#REF!</f>
        <v>#REF!</v>
      </c>
      <c r="R21" s="136" t="e">
        <f>#REF!</f>
        <v>#REF!</v>
      </c>
      <c r="S21" s="136" t="e">
        <f>#REF!</f>
        <v>#REF!</v>
      </c>
      <c r="T21" s="136" t="e">
        <f>#REF!</f>
        <v>#REF!</v>
      </c>
      <c r="U21" s="136" t="e">
        <f>#REF!</f>
        <v>#REF!</v>
      </c>
      <c r="V21" s="136" t="e">
        <f>#REF!</f>
        <v>#REF!</v>
      </c>
      <c r="W21" s="136" t="e">
        <f>#REF!</f>
        <v>#REF!</v>
      </c>
      <c r="X21" s="136" t="e">
        <f>#REF!</f>
        <v>#REF!</v>
      </c>
      <c r="Y21" s="136" t="e">
        <f>#REF!</f>
        <v>#REF!</v>
      </c>
      <c r="Z21" s="136" t="e">
        <f>#REF!</f>
        <v>#REF!</v>
      </c>
      <c r="AA21" s="136" t="e">
        <f>#REF!</f>
        <v>#REF!</v>
      </c>
      <c r="AB21" s="136" t="e">
        <f>#REF!</f>
        <v>#REF!</v>
      </c>
      <c r="AC21" s="136" t="e">
        <f>#REF!</f>
        <v>#REF!</v>
      </c>
      <c r="AD21" s="136" t="e">
        <f>#REF!</f>
        <v>#REF!</v>
      </c>
      <c r="AE21" s="136" t="e">
        <f>#REF!</f>
        <v>#REF!</v>
      </c>
    </row>
    <row r="22" spans="1:31" x14ac:dyDescent="0.2">
      <c r="A22" s="136" t="e">
        <f>#REF!</f>
        <v>#REF!</v>
      </c>
      <c r="B22" s="136" t="e">
        <f>#REF!</f>
        <v>#REF!</v>
      </c>
      <c r="C22" s="136" t="e">
        <f>#REF!</f>
        <v>#REF!</v>
      </c>
      <c r="D22" s="136" t="e">
        <f>#REF!</f>
        <v>#REF!</v>
      </c>
      <c r="E22" s="136" t="e">
        <f>#REF!</f>
        <v>#REF!</v>
      </c>
      <c r="F22" s="136" t="e">
        <f>#REF!</f>
        <v>#REF!</v>
      </c>
      <c r="G22" s="136" t="e">
        <f>#REF!</f>
        <v>#REF!</v>
      </c>
      <c r="H22" s="136" t="e">
        <f>#REF!</f>
        <v>#REF!</v>
      </c>
      <c r="I22" s="136" t="e">
        <f>#REF!</f>
        <v>#REF!</v>
      </c>
      <c r="J22" s="136" t="e">
        <f>#REF!</f>
        <v>#REF!</v>
      </c>
      <c r="K22" s="136" t="e">
        <f>#REF!</f>
        <v>#REF!</v>
      </c>
      <c r="L22" s="136" t="e">
        <f>#REF!</f>
        <v>#REF!</v>
      </c>
      <c r="M22" s="136" t="e">
        <f>#REF!</f>
        <v>#REF!</v>
      </c>
      <c r="N22" s="136" t="e">
        <f>#REF!</f>
        <v>#REF!</v>
      </c>
      <c r="O22" s="136" t="e">
        <f>#REF!</f>
        <v>#REF!</v>
      </c>
      <c r="P22" s="136" t="e">
        <f>#REF!</f>
        <v>#REF!</v>
      </c>
      <c r="Q22" s="136" t="e">
        <f>#REF!</f>
        <v>#REF!</v>
      </c>
      <c r="R22" s="136" t="e">
        <f>#REF!</f>
        <v>#REF!</v>
      </c>
      <c r="S22" s="136" t="e">
        <f>#REF!</f>
        <v>#REF!</v>
      </c>
      <c r="T22" s="136" t="e">
        <f>#REF!</f>
        <v>#REF!</v>
      </c>
      <c r="U22" s="136" t="e">
        <f>#REF!</f>
        <v>#REF!</v>
      </c>
      <c r="V22" s="136" t="e">
        <f>#REF!</f>
        <v>#REF!</v>
      </c>
      <c r="W22" s="136" t="e">
        <f>#REF!</f>
        <v>#REF!</v>
      </c>
      <c r="X22" s="136" t="e">
        <f>#REF!</f>
        <v>#REF!</v>
      </c>
      <c r="Y22" s="136" t="e">
        <f>#REF!</f>
        <v>#REF!</v>
      </c>
      <c r="Z22" s="136" t="e">
        <f>#REF!</f>
        <v>#REF!</v>
      </c>
      <c r="AA22" s="136" t="e">
        <f>#REF!</f>
        <v>#REF!</v>
      </c>
      <c r="AB22" s="136" t="e">
        <f>#REF!</f>
        <v>#REF!</v>
      </c>
      <c r="AC22" s="136" t="e">
        <f>#REF!</f>
        <v>#REF!</v>
      </c>
      <c r="AD22" s="136" t="e">
        <f>#REF!</f>
        <v>#REF!</v>
      </c>
      <c r="AE22" s="136" t="e">
        <f>#REF!</f>
        <v>#REF!</v>
      </c>
    </row>
    <row r="23" spans="1:31" x14ac:dyDescent="0.2">
      <c r="A23" s="136" t="e">
        <f>#REF!</f>
        <v>#REF!</v>
      </c>
      <c r="B23" s="136" t="e">
        <f>#REF!</f>
        <v>#REF!</v>
      </c>
      <c r="C23" s="136" t="e">
        <f>#REF!</f>
        <v>#REF!</v>
      </c>
      <c r="D23" s="136" t="e">
        <f>#REF!</f>
        <v>#REF!</v>
      </c>
      <c r="E23" s="136" t="e">
        <f>#REF!</f>
        <v>#REF!</v>
      </c>
      <c r="F23" s="136" t="e">
        <f>#REF!</f>
        <v>#REF!</v>
      </c>
      <c r="G23" s="136" t="e">
        <f>#REF!</f>
        <v>#REF!</v>
      </c>
      <c r="H23" s="136" t="e">
        <f>#REF!</f>
        <v>#REF!</v>
      </c>
      <c r="I23" s="136" t="e">
        <f>#REF!</f>
        <v>#REF!</v>
      </c>
      <c r="J23" s="136" t="e">
        <f>#REF!</f>
        <v>#REF!</v>
      </c>
      <c r="K23" s="136" t="e">
        <f>#REF!</f>
        <v>#REF!</v>
      </c>
      <c r="L23" s="136" t="e">
        <f>#REF!</f>
        <v>#REF!</v>
      </c>
      <c r="M23" s="136" t="e">
        <f>#REF!</f>
        <v>#REF!</v>
      </c>
      <c r="N23" s="136" t="e">
        <f>#REF!</f>
        <v>#REF!</v>
      </c>
      <c r="O23" s="136" t="e">
        <f>#REF!</f>
        <v>#REF!</v>
      </c>
      <c r="P23" s="136" t="e">
        <f>#REF!</f>
        <v>#REF!</v>
      </c>
      <c r="Q23" s="136" t="e">
        <f>#REF!</f>
        <v>#REF!</v>
      </c>
      <c r="R23" s="136" t="e">
        <f>#REF!</f>
        <v>#REF!</v>
      </c>
      <c r="S23" s="136" t="e">
        <f>#REF!</f>
        <v>#REF!</v>
      </c>
      <c r="T23" s="136" t="e">
        <f>#REF!</f>
        <v>#REF!</v>
      </c>
      <c r="U23" s="136" t="e">
        <f>#REF!</f>
        <v>#REF!</v>
      </c>
      <c r="V23" s="136" t="e">
        <f>#REF!</f>
        <v>#REF!</v>
      </c>
      <c r="W23" s="136" t="e">
        <f>#REF!</f>
        <v>#REF!</v>
      </c>
      <c r="X23" s="136" t="e">
        <f>#REF!</f>
        <v>#REF!</v>
      </c>
      <c r="Y23" s="136" t="e">
        <f>#REF!</f>
        <v>#REF!</v>
      </c>
      <c r="Z23" s="136" t="e">
        <f>#REF!</f>
        <v>#REF!</v>
      </c>
      <c r="AA23" s="136" t="e">
        <f>#REF!</f>
        <v>#REF!</v>
      </c>
      <c r="AB23" s="136" t="e">
        <f>#REF!</f>
        <v>#REF!</v>
      </c>
      <c r="AC23" s="136" t="e">
        <f>#REF!</f>
        <v>#REF!</v>
      </c>
      <c r="AD23" s="136" t="e">
        <f>#REF!</f>
        <v>#REF!</v>
      </c>
      <c r="AE23" s="136" t="e">
        <f>#REF!</f>
        <v>#REF!</v>
      </c>
    </row>
    <row r="24" spans="1:31" x14ac:dyDescent="0.2">
      <c r="A24" s="136" t="e">
        <f>#REF!</f>
        <v>#REF!</v>
      </c>
      <c r="B24" s="136" t="e">
        <f>#REF!</f>
        <v>#REF!</v>
      </c>
      <c r="C24" s="136" t="e">
        <f>#REF!</f>
        <v>#REF!</v>
      </c>
      <c r="D24" s="136" t="e">
        <f>#REF!</f>
        <v>#REF!</v>
      </c>
      <c r="E24" s="136" t="e">
        <f>#REF!</f>
        <v>#REF!</v>
      </c>
      <c r="F24" s="136" t="e">
        <f>#REF!</f>
        <v>#REF!</v>
      </c>
      <c r="G24" s="136" t="e">
        <f>#REF!</f>
        <v>#REF!</v>
      </c>
      <c r="H24" s="136" t="e">
        <f>#REF!</f>
        <v>#REF!</v>
      </c>
      <c r="I24" s="136" t="e">
        <f>#REF!</f>
        <v>#REF!</v>
      </c>
      <c r="J24" s="136" t="e">
        <f>#REF!</f>
        <v>#REF!</v>
      </c>
      <c r="K24" s="136" t="e">
        <f>#REF!</f>
        <v>#REF!</v>
      </c>
      <c r="L24" s="136" t="e">
        <f>#REF!</f>
        <v>#REF!</v>
      </c>
      <c r="M24" s="136" t="e">
        <f>#REF!</f>
        <v>#REF!</v>
      </c>
      <c r="N24" s="136" t="e">
        <f>#REF!</f>
        <v>#REF!</v>
      </c>
      <c r="O24" s="136" t="e">
        <f>#REF!</f>
        <v>#REF!</v>
      </c>
      <c r="P24" s="136" t="e">
        <f>#REF!</f>
        <v>#REF!</v>
      </c>
      <c r="Q24" s="136" t="e">
        <f>#REF!</f>
        <v>#REF!</v>
      </c>
      <c r="R24" s="136" t="e">
        <f>#REF!</f>
        <v>#REF!</v>
      </c>
      <c r="S24" s="136" t="e">
        <f>#REF!</f>
        <v>#REF!</v>
      </c>
      <c r="T24" s="136" t="e">
        <f>#REF!</f>
        <v>#REF!</v>
      </c>
      <c r="U24" s="136" t="e">
        <f>#REF!</f>
        <v>#REF!</v>
      </c>
      <c r="V24" s="136" t="e">
        <f>#REF!</f>
        <v>#REF!</v>
      </c>
      <c r="W24" s="136" t="e">
        <f>#REF!</f>
        <v>#REF!</v>
      </c>
      <c r="X24" s="136" t="e">
        <f>#REF!</f>
        <v>#REF!</v>
      </c>
      <c r="Y24" s="136" t="e">
        <f>#REF!</f>
        <v>#REF!</v>
      </c>
      <c r="Z24" s="136" t="e">
        <f>#REF!</f>
        <v>#REF!</v>
      </c>
      <c r="AA24" s="136" t="e">
        <f>#REF!</f>
        <v>#REF!</v>
      </c>
      <c r="AB24" s="136" t="e">
        <f>#REF!</f>
        <v>#REF!</v>
      </c>
      <c r="AC24" s="136" t="e">
        <f>#REF!</f>
        <v>#REF!</v>
      </c>
      <c r="AD24" s="136" t="e">
        <f>#REF!</f>
        <v>#REF!</v>
      </c>
      <c r="AE24" s="136" t="e">
        <f>#REF!</f>
        <v>#REF!</v>
      </c>
    </row>
    <row r="25" spans="1:31" x14ac:dyDescent="0.2">
      <c r="A25" s="136" t="e">
        <f>#REF!</f>
        <v>#REF!</v>
      </c>
      <c r="B25" s="136" t="e">
        <f>#REF!</f>
        <v>#REF!</v>
      </c>
      <c r="C25" s="136" t="e">
        <f>#REF!</f>
        <v>#REF!</v>
      </c>
      <c r="D25" s="136" t="e">
        <f>#REF!</f>
        <v>#REF!</v>
      </c>
      <c r="E25" s="136" t="e">
        <f>#REF!</f>
        <v>#REF!</v>
      </c>
      <c r="F25" s="136" t="e">
        <f>#REF!</f>
        <v>#REF!</v>
      </c>
      <c r="G25" s="136" t="e">
        <f>#REF!</f>
        <v>#REF!</v>
      </c>
      <c r="H25" s="136" t="e">
        <f>#REF!</f>
        <v>#REF!</v>
      </c>
      <c r="I25" s="136" t="e">
        <f>#REF!</f>
        <v>#REF!</v>
      </c>
      <c r="J25" s="136" t="e">
        <f>#REF!</f>
        <v>#REF!</v>
      </c>
      <c r="K25" s="136" t="e">
        <f>#REF!</f>
        <v>#REF!</v>
      </c>
      <c r="L25" s="136" t="e">
        <f>#REF!</f>
        <v>#REF!</v>
      </c>
      <c r="M25" s="136" t="e">
        <f>#REF!</f>
        <v>#REF!</v>
      </c>
      <c r="N25" s="136" t="e">
        <f>#REF!</f>
        <v>#REF!</v>
      </c>
      <c r="O25" s="136" t="e">
        <f>#REF!</f>
        <v>#REF!</v>
      </c>
      <c r="P25" s="136" t="e">
        <f>#REF!</f>
        <v>#REF!</v>
      </c>
      <c r="Q25" s="136" t="e">
        <f>#REF!</f>
        <v>#REF!</v>
      </c>
      <c r="R25" s="136" t="e">
        <f>#REF!</f>
        <v>#REF!</v>
      </c>
      <c r="S25" s="136" t="e">
        <f>#REF!</f>
        <v>#REF!</v>
      </c>
      <c r="T25" s="136" t="e">
        <f>#REF!</f>
        <v>#REF!</v>
      </c>
      <c r="U25" s="136" t="e">
        <f>#REF!</f>
        <v>#REF!</v>
      </c>
      <c r="V25" s="136" t="e">
        <f>#REF!</f>
        <v>#REF!</v>
      </c>
      <c r="W25" s="136" t="e">
        <f>#REF!</f>
        <v>#REF!</v>
      </c>
      <c r="X25" s="136" t="e">
        <f>#REF!</f>
        <v>#REF!</v>
      </c>
      <c r="Y25" s="136" t="e">
        <f>#REF!</f>
        <v>#REF!</v>
      </c>
      <c r="Z25" s="136" t="e">
        <f>#REF!</f>
        <v>#REF!</v>
      </c>
      <c r="AA25" s="136" t="e">
        <f>#REF!</f>
        <v>#REF!</v>
      </c>
      <c r="AB25" s="136" t="e">
        <f>#REF!</f>
        <v>#REF!</v>
      </c>
      <c r="AC25" s="136" t="e">
        <f>#REF!</f>
        <v>#REF!</v>
      </c>
      <c r="AD25" s="136" t="e">
        <f>#REF!</f>
        <v>#REF!</v>
      </c>
      <c r="AE25" s="136" t="e">
        <f>#REF!</f>
        <v>#REF!</v>
      </c>
    </row>
    <row r="26" spans="1:31" x14ac:dyDescent="0.2">
      <c r="A26" s="136" t="e">
        <f>#REF!</f>
        <v>#REF!</v>
      </c>
      <c r="B26" s="136" t="e">
        <f>#REF!</f>
        <v>#REF!</v>
      </c>
      <c r="C26" s="136" t="e">
        <f>#REF!</f>
        <v>#REF!</v>
      </c>
      <c r="D26" s="136" t="e">
        <f>#REF!</f>
        <v>#REF!</v>
      </c>
      <c r="E26" s="136" t="e">
        <f>#REF!</f>
        <v>#REF!</v>
      </c>
      <c r="F26" s="136" t="e">
        <f>#REF!</f>
        <v>#REF!</v>
      </c>
      <c r="G26" s="136" t="e">
        <f>#REF!</f>
        <v>#REF!</v>
      </c>
      <c r="H26" s="136" t="e">
        <f>#REF!</f>
        <v>#REF!</v>
      </c>
      <c r="I26" s="136" t="e">
        <f>#REF!</f>
        <v>#REF!</v>
      </c>
      <c r="J26" s="136" t="e">
        <f>#REF!</f>
        <v>#REF!</v>
      </c>
      <c r="K26" s="136" t="e">
        <f>#REF!</f>
        <v>#REF!</v>
      </c>
      <c r="L26" s="136" t="e">
        <f>#REF!</f>
        <v>#REF!</v>
      </c>
      <c r="M26" s="136" t="e">
        <f>#REF!</f>
        <v>#REF!</v>
      </c>
      <c r="N26" s="136" t="e">
        <f>#REF!</f>
        <v>#REF!</v>
      </c>
      <c r="O26" s="136" t="e">
        <f>#REF!</f>
        <v>#REF!</v>
      </c>
      <c r="P26" s="136" t="e">
        <f>#REF!</f>
        <v>#REF!</v>
      </c>
      <c r="Q26" s="136" t="e">
        <f>#REF!</f>
        <v>#REF!</v>
      </c>
      <c r="R26" s="136" t="e">
        <f>#REF!</f>
        <v>#REF!</v>
      </c>
      <c r="S26" s="136" t="e">
        <f>#REF!</f>
        <v>#REF!</v>
      </c>
      <c r="T26" s="136" t="e">
        <f>#REF!</f>
        <v>#REF!</v>
      </c>
      <c r="U26" s="136" t="e">
        <f>#REF!</f>
        <v>#REF!</v>
      </c>
      <c r="V26" s="136" t="e">
        <f>#REF!</f>
        <v>#REF!</v>
      </c>
      <c r="W26" s="136" t="e">
        <f>#REF!</f>
        <v>#REF!</v>
      </c>
      <c r="X26" s="136" t="e">
        <f>#REF!</f>
        <v>#REF!</v>
      </c>
      <c r="Y26" s="136" t="e">
        <f>#REF!</f>
        <v>#REF!</v>
      </c>
      <c r="Z26" s="136" t="e">
        <f>#REF!</f>
        <v>#REF!</v>
      </c>
      <c r="AA26" s="136" t="e">
        <f>#REF!</f>
        <v>#REF!</v>
      </c>
      <c r="AB26" s="136" t="e">
        <f>#REF!</f>
        <v>#REF!</v>
      </c>
      <c r="AC26" s="136" t="e">
        <f>#REF!</f>
        <v>#REF!</v>
      </c>
      <c r="AD26" s="136" t="e">
        <f>#REF!</f>
        <v>#REF!</v>
      </c>
      <c r="AE26" s="136" t="e">
        <f>#REF!</f>
        <v>#REF!</v>
      </c>
    </row>
    <row r="27" spans="1:31" x14ac:dyDescent="0.2">
      <c r="A27" s="136" t="e">
        <f>#REF!</f>
        <v>#REF!</v>
      </c>
      <c r="B27" s="136" t="e">
        <f>#REF!</f>
        <v>#REF!</v>
      </c>
      <c r="C27" s="136" t="e">
        <f>#REF!</f>
        <v>#REF!</v>
      </c>
      <c r="D27" s="136" t="e">
        <f>#REF!</f>
        <v>#REF!</v>
      </c>
      <c r="E27" s="136" t="e">
        <f>#REF!</f>
        <v>#REF!</v>
      </c>
      <c r="F27" s="136" t="e">
        <f>#REF!</f>
        <v>#REF!</v>
      </c>
      <c r="G27" s="136" t="e">
        <f>#REF!</f>
        <v>#REF!</v>
      </c>
      <c r="H27" s="136" t="e">
        <f>#REF!</f>
        <v>#REF!</v>
      </c>
      <c r="I27" s="136" t="e">
        <f>#REF!</f>
        <v>#REF!</v>
      </c>
      <c r="J27" s="136" t="e">
        <f>#REF!</f>
        <v>#REF!</v>
      </c>
      <c r="K27" s="136" t="e">
        <f>#REF!</f>
        <v>#REF!</v>
      </c>
      <c r="L27" s="136" t="e">
        <f>#REF!</f>
        <v>#REF!</v>
      </c>
      <c r="M27" s="136" t="e">
        <f>#REF!</f>
        <v>#REF!</v>
      </c>
      <c r="N27" s="136" t="e">
        <f>#REF!</f>
        <v>#REF!</v>
      </c>
      <c r="O27" s="136" t="e">
        <f>#REF!</f>
        <v>#REF!</v>
      </c>
      <c r="P27" s="136" t="e">
        <f>#REF!</f>
        <v>#REF!</v>
      </c>
      <c r="Q27" s="136" t="e">
        <f>#REF!</f>
        <v>#REF!</v>
      </c>
      <c r="R27" s="136" t="e">
        <f>#REF!</f>
        <v>#REF!</v>
      </c>
      <c r="S27" s="136" t="e">
        <f>#REF!</f>
        <v>#REF!</v>
      </c>
      <c r="T27" s="136" t="e">
        <f>#REF!</f>
        <v>#REF!</v>
      </c>
      <c r="U27" s="136" t="e">
        <f>#REF!</f>
        <v>#REF!</v>
      </c>
      <c r="V27" s="136" t="e">
        <f>#REF!</f>
        <v>#REF!</v>
      </c>
      <c r="W27" s="136" t="e">
        <f>#REF!</f>
        <v>#REF!</v>
      </c>
      <c r="X27" s="136" t="e">
        <f>#REF!</f>
        <v>#REF!</v>
      </c>
      <c r="Y27" s="136" t="e">
        <f>#REF!</f>
        <v>#REF!</v>
      </c>
      <c r="Z27" s="136" t="e">
        <f>#REF!</f>
        <v>#REF!</v>
      </c>
      <c r="AA27" s="136" t="e">
        <f>#REF!</f>
        <v>#REF!</v>
      </c>
      <c r="AB27" s="136" t="e">
        <f>#REF!</f>
        <v>#REF!</v>
      </c>
      <c r="AC27" s="136" t="e">
        <f>#REF!</f>
        <v>#REF!</v>
      </c>
      <c r="AD27" s="136" t="e">
        <f>#REF!</f>
        <v>#REF!</v>
      </c>
      <c r="AE27" s="136" t="e">
        <f>#REF!</f>
        <v>#REF!</v>
      </c>
    </row>
    <row r="28" spans="1:31" x14ac:dyDescent="0.2">
      <c r="B28" s="136"/>
    </row>
    <row r="30" spans="1:31" x14ac:dyDescent="0.2">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row>
    <row r="31" spans="1:31" x14ac:dyDescent="0.2">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row>
    <row r="32" spans="1:31" x14ac:dyDescent="0.2">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row>
    <row r="33" spans="1:31" x14ac:dyDescent="0.2">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row>
    <row r="34" spans="1:31" x14ac:dyDescent="0.2">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row>
    <row r="35" spans="1:31" x14ac:dyDescent="0.2">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row>
    <row r="36" spans="1:31" x14ac:dyDescent="0.2">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row>
    <row r="37" spans="1:31" x14ac:dyDescent="0.2">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row>
    <row r="38" spans="1:31" x14ac:dyDescent="0.2">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row>
    <row r="39" spans="1:31" x14ac:dyDescent="0.2">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row>
    <row r="40" spans="1:31" x14ac:dyDescent="0.2">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row>
    <row r="41" spans="1:31" x14ac:dyDescent="0.2">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row>
    <row r="43" spans="1:31" x14ac:dyDescent="0.2">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row>
    <row r="44" spans="1:31" x14ac:dyDescent="0.2">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row>
    <row r="45" spans="1:31" x14ac:dyDescent="0.2">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row>
    <row r="46" spans="1:31" x14ac:dyDescent="0.2">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row>
    <row r="47" spans="1:31" x14ac:dyDescent="0.2">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row>
    <row r="48" spans="1:31" x14ac:dyDescent="0.2">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row>
    <row r="49" spans="1:31" x14ac:dyDescent="0.2">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row>
    <row r="50" spans="1:31" x14ac:dyDescent="0.2">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row>
    <row r="51" spans="1:31" x14ac:dyDescent="0.2">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row>
    <row r="52" spans="1:31" x14ac:dyDescent="0.2">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row>
    <row r="53" spans="1:31" x14ac:dyDescent="0.2">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row>
    <row r="54" spans="1:31" x14ac:dyDescent="0.2">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row>
    <row r="55" spans="1:31" x14ac:dyDescent="0.2">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row>
    <row r="56" spans="1:31" x14ac:dyDescent="0.2">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row>
    <row r="59" spans="1:31" x14ac:dyDescent="0.2">
      <c r="A59" s="137" t="e">
        <f>#REF!</f>
        <v>#REF!</v>
      </c>
      <c r="B59" s="137" t="e">
        <f>#REF!</f>
        <v>#REF!</v>
      </c>
      <c r="C59" s="137" t="e">
        <f>#REF!</f>
        <v>#REF!</v>
      </c>
      <c r="D59" s="137" t="e">
        <f>#REF!</f>
        <v>#REF!</v>
      </c>
      <c r="E59" s="137" t="e">
        <f>#REF!</f>
        <v>#REF!</v>
      </c>
      <c r="F59" s="137" t="e">
        <f>#REF!</f>
        <v>#REF!</v>
      </c>
      <c r="G59" s="137" t="e">
        <f>#REF!</f>
        <v>#REF!</v>
      </c>
      <c r="H59" s="137" t="e">
        <f>#REF!</f>
        <v>#REF!</v>
      </c>
      <c r="I59" s="137" t="e">
        <f>#REF!</f>
        <v>#REF!</v>
      </c>
      <c r="J59" s="137" t="e">
        <f>#REF!</f>
        <v>#REF!</v>
      </c>
      <c r="K59" s="137" t="e">
        <f>#REF!</f>
        <v>#REF!</v>
      </c>
      <c r="L59" s="137" t="e">
        <f>#REF!</f>
        <v>#REF!</v>
      </c>
      <c r="M59" s="137" t="e">
        <f>#REF!</f>
        <v>#REF!</v>
      </c>
      <c r="N59" s="137" t="e">
        <f>#REF!</f>
        <v>#REF!</v>
      </c>
      <c r="O59" s="137" t="e">
        <f>#REF!</f>
        <v>#REF!</v>
      </c>
      <c r="P59" s="137" t="e">
        <f>#REF!</f>
        <v>#REF!</v>
      </c>
      <c r="Q59" s="137" t="e">
        <f>#REF!</f>
        <v>#REF!</v>
      </c>
      <c r="R59" s="137" t="e">
        <f>#REF!</f>
        <v>#REF!</v>
      </c>
      <c r="S59" s="137" t="e">
        <f>#REF!</f>
        <v>#REF!</v>
      </c>
      <c r="T59" s="137" t="e">
        <f>#REF!</f>
        <v>#REF!</v>
      </c>
      <c r="U59" s="137" t="e">
        <f>#REF!</f>
        <v>#REF!</v>
      </c>
      <c r="V59" s="137" t="e">
        <f>#REF!</f>
        <v>#REF!</v>
      </c>
      <c r="W59" s="137" t="e">
        <f>#REF!</f>
        <v>#REF!</v>
      </c>
      <c r="X59" s="137" t="e">
        <f>#REF!</f>
        <v>#REF!</v>
      </c>
      <c r="Y59" s="137" t="e">
        <f>#REF!</f>
        <v>#REF!</v>
      </c>
      <c r="Z59" s="137" t="e">
        <f>#REF!</f>
        <v>#REF!</v>
      </c>
      <c r="AA59" s="137" t="e">
        <f>#REF!</f>
        <v>#REF!</v>
      </c>
      <c r="AB59" s="137" t="e">
        <f>#REF!</f>
        <v>#REF!</v>
      </c>
      <c r="AC59" s="137" t="e">
        <f>#REF!</f>
        <v>#REF!</v>
      </c>
      <c r="AD59" s="137" t="e">
        <f>#REF!</f>
        <v>#REF!</v>
      </c>
      <c r="AE59" s="137" t="e">
        <f>#REF!</f>
        <v>#REF!</v>
      </c>
    </row>
    <row r="60" spans="1:31" x14ac:dyDescent="0.2">
      <c r="A60" s="137" t="e">
        <f>#REF!</f>
        <v>#REF!</v>
      </c>
      <c r="B60" s="137" t="e">
        <f>#REF!</f>
        <v>#REF!</v>
      </c>
      <c r="C60" s="137" t="e">
        <f>#REF!</f>
        <v>#REF!</v>
      </c>
      <c r="D60" s="137" t="e">
        <f>#REF!</f>
        <v>#REF!</v>
      </c>
      <c r="E60" s="137" t="e">
        <f>#REF!</f>
        <v>#REF!</v>
      </c>
      <c r="F60" s="137" t="e">
        <f>#REF!</f>
        <v>#REF!</v>
      </c>
      <c r="G60" s="137" t="e">
        <f>#REF!</f>
        <v>#REF!</v>
      </c>
      <c r="H60" s="137" t="e">
        <f>#REF!</f>
        <v>#REF!</v>
      </c>
      <c r="I60" s="137" t="e">
        <f>#REF!</f>
        <v>#REF!</v>
      </c>
      <c r="J60" s="137" t="e">
        <f>#REF!</f>
        <v>#REF!</v>
      </c>
      <c r="K60" s="137" t="e">
        <f>#REF!</f>
        <v>#REF!</v>
      </c>
      <c r="L60" s="137" t="e">
        <f>#REF!</f>
        <v>#REF!</v>
      </c>
      <c r="M60" s="137" t="e">
        <f>#REF!</f>
        <v>#REF!</v>
      </c>
      <c r="N60" s="137" t="e">
        <f>#REF!</f>
        <v>#REF!</v>
      </c>
      <c r="O60" s="137" t="e">
        <f>#REF!</f>
        <v>#REF!</v>
      </c>
      <c r="P60" s="137" t="e">
        <f>#REF!</f>
        <v>#REF!</v>
      </c>
      <c r="Q60" s="137" t="e">
        <f>#REF!</f>
        <v>#REF!</v>
      </c>
      <c r="R60" s="137" t="e">
        <f>#REF!</f>
        <v>#REF!</v>
      </c>
      <c r="S60" s="137" t="e">
        <f>#REF!</f>
        <v>#REF!</v>
      </c>
      <c r="T60" s="137" t="e">
        <f>#REF!</f>
        <v>#REF!</v>
      </c>
      <c r="U60" s="137" t="e">
        <f>#REF!</f>
        <v>#REF!</v>
      </c>
      <c r="V60" s="137" t="e">
        <f>#REF!</f>
        <v>#REF!</v>
      </c>
      <c r="W60" s="137" t="e">
        <f>#REF!</f>
        <v>#REF!</v>
      </c>
      <c r="X60" s="137" t="e">
        <f>#REF!</f>
        <v>#REF!</v>
      </c>
      <c r="Y60" s="137" t="e">
        <f>#REF!</f>
        <v>#REF!</v>
      </c>
      <c r="Z60" s="137" t="e">
        <f>#REF!</f>
        <v>#REF!</v>
      </c>
      <c r="AA60" s="137" t="e">
        <f>#REF!</f>
        <v>#REF!</v>
      </c>
      <c r="AB60" s="137" t="e">
        <f>#REF!</f>
        <v>#REF!</v>
      </c>
      <c r="AC60" s="137" t="e">
        <f>#REF!</f>
        <v>#REF!</v>
      </c>
      <c r="AD60" s="137" t="e">
        <f>#REF!</f>
        <v>#REF!</v>
      </c>
      <c r="AE60" s="137" t="e">
        <f>#REF!</f>
        <v>#REF!</v>
      </c>
    </row>
    <row r="61" spans="1:31" x14ac:dyDescent="0.2">
      <c r="A61" s="137" t="e">
        <f>#REF!</f>
        <v>#REF!</v>
      </c>
      <c r="B61" s="137" t="e">
        <f>#REF!</f>
        <v>#REF!</v>
      </c>
      <c r="C61" s="137" t="e">
        <f>#REF!</f>
        <v>#REF!</v>
      </c>
      <c r="D61" s="137" t="e">
        <f>#REF!</f>
        <v>#REF!</v>
      </c>
      <c r="E61" s="137" t="e">
        <f>#REF!</f>
        <v>#REF!</v>
      </c>
      <c r="F61" s="137" t="e">
        <f>#REF!</f>
        <v>#REF!</v>
      </c>
      <c r="G61" s="137" t="e">
        <f>#REF!</f>
        <v>#REF!</v>
      </c>
      <c r="H61" s="137" t="e">
        <f>#REF!</f>
        <v>#REF!</v>
      </c>
      <c r="I61" s="137" t="e">
        <f>#REF!</f>
        <v>#REF!</v>
      </c>
      <c r="J61" s="137" t="e">
        <f>#REF!</f>
        <v>#REF!</v>
      </c>
      <c r="K61" s="137" t="e">
        <f>#REF!</f>
        <v>#REF!</v>
      </c>
      <c r="L61" s="137" t="e">
        <f>#REF!</f>
        <v>#REF!</v>
      </c>
      <c r="M61" s="137" t="e">
        <f>#REF!</f>
        <v>#REF!</v>
      </c>
      <c r="N61" s="137" t="e">
        <f>#REF!</f>
        <v>#REF!</v>
      </c>
      <c r="O61" s="137" t="e">
        <f>#REF!</f>
        <v>#REF!</v>
      </c>
      <c r="P61" s="137" t="e">
        <f>#REF!</f>
        <v>#REF!</v>
      </c>
      <c r="Q61" s="137" t="e">
        <f>#REF!</f>
        <v>#REF!</v>
      </c>
      <c r="R61" s="137" t="e">
        <f>#REF!</f>
        <v>#REF!</v>
      </c>
      <c r="S61" s="137" t="e">
        <f>#REF!</f>
        <v>#REF!</v>
      </c>
      <c r="T61" s="137" t="e">
        <f>#REF!</f>
        <v>#REF!</v>
      </c>
      <c r="U61" s="137" t="e">
        <f>#REF!</f>
        <v>#REF!</v>
      </c>
      <c r="V61" s="137" t="e">
        <f>#REF!</f>
        <v>#REF!</v>
      </c>
      <c r="W61" s="137" t="e">
        <f>#REF!</f>
        <v>#REF!</v>
      </c>
      <c r="X61" s="137" t="e">
        <f>#REF!</f>
        <v>#REF!</v>
      </c>
      <c r="Y61" s="137" t="e">
        <f>#REF!</f>
        <v>#REF!</v>
      </c>
      <c r="Z61" s="137" t="e">
        <f>#REF!</f>
        <v>#REF!</v>
      </c>
      <c r="AA61" s="137" t="e">
        <f>#REF!</f>
        <v>#REF!</v>
      </c>
      <c r="AB61" s="137" t="e">
        <f>#REF!</f>
        <v>#REF!</v>
      </c>
      <c r="AC61" s="137" t="e">
        <f>#REF!</f>
        <v>#REF!</v>
      </c>
      <c r="AD61" s="137" t="e">
        <f>#REF!</f>
        <v>#REF!</v>
      </c>
      <c r="AE61" s="137" t="e">
        <f>#REF!</f>
        <v>#REF!</v>
      </c>
    </row>
    <row r="62" spans="1:31" x14ac:dyDescent="0.2">
      <c r="A62" s="137" t="e">
        <f>#REF!</f>
        <v>#REF!</v>
      </c>
      <c r="B62" s="137" t="e">
        <f>#REF!</f>
        <v>#REF!</v>
      </c>
      <c r="C62" s="137" t="e">
        <f>#REF!</f>
        <v>#REF!</v>
      </c>
      <c r="D62" s="137" t="e">
        <f>#REF!</f>
        <v>#REF!</v>
      </c>
      <c r="E62" s="137" t="e">
        <f>#REF!</f>
        <v>#REF!</v>
      </c>
      <c r="F62" s="137" t="e">
        <f>#REF!</f>
        <v>#REF!</v>
      </c>
      <c r="G62" s="137" t="e">
        <f>#REF!</f>
        <v>#REF!</v>
      </c>
      <c r="H62" s="137" t="e">
        <f>#REF!</f>
        <v>#REF!</v>
      </c>
      <c r="I62" s="137" t="e">
        <f>#REF!</f>
        <v>#REF!</v>
      </c>
      <c r="J62" s="137" t="e">
        <f>#REF!</f>
        <v>#REF!</v>
      </c>
      <c r="K62" s="137" t="e">
        <f>#REF!</f>
        <v>#REF!</v>
      </c>
      <c r="L62" s="137" t="e">
        <f>#REF!</f>
        <v>#REF!</v>
      </c>
      <c r="M62" s="137" t="e">
        <f>#REF!</f>
        <v>#REF!</v>
      </c>
      <c r="N62" s="137" t="e">
        <f>#REF!</f>
        <v>#REF!</v>
      </c>
      <c r="O62" s="137" t="e">
        <f>#REF!</f>
        <v>#REF!</v>
      </c>
      <c r="P62" s="137" t="e">
        <f>#REF!</f>
        <v>#REF!</v>
      </c>
      <c r="Q62" s="137" t="e">
        <f>#REF!</f>
        <v>#REF!</v>
      </c>
      <c r="R62" s="137" t="e">
        <f>#REF!</f>
        <v>#REF!</v>
      </c>
      <c r="S62" s="137" t="e">
        <f>#REF!</f>
        <v>#REF!</v>
      </c>
      <c r="T62" s="137" t="e">
        <f>#REF!</f>
        <v>#REF!</v>
      </c>
      <c r="U62" s="137" t="e">
        <f>#REF!</f>
        <v>#REF!</v>
      </c>
      <c r="V62" s="137" t="e">
        <f>#REF!</f>
        <v>#REF!</v>
      </c>
      <c r="W62" s="137" t="e">
        <f>#REF!</f>
        <v>#REF!</v>
      </c>
      <c r="X62" s="137" t="e">
        <f>#REF!</f>
        <v>#REF!</v>
      </c>
      <c r="Y62" s="137" t="e">
        <f>#REF!</f>
        <v>#REF!</v>
      </c>
      <c r="Z62" s="137" t="e">
        <f>#REF!</f>
        <v>#REF!</v>
      </c>
      <c r="AA62" s="137" t="e">
        <f>#REF!</f>
        <v>#REF!</v>
      </c>
      <c r="AB62" s="137" t="e">
        <f>#REF!</f>
        <v>#REF!</v>
      </c>
      <c r="AC62" s="137" t="e">
        <f>#REF!</f>
        <v>#REF!</v>
      </c>
      <c r="AD62" s="137" t="e">
        <f>#REF!</f>
        <v>#REF!</v>
      </c>
      <c r="AE62" s="137" t="e">
        <f>#REF!</f>
        <v>#REF!</v>
      </c>
    </row>
    <row r="63" spans="1:31" x14ac:dyDescent="0.2">
      <c r="A63" s="137" t="e">
        <f>#REF!</f>
        <v>#REF!</v>
      </c>
      <c r="B63" s="137" t="e">
        <f>#REF!</f>
        <v>#REF!</v>
      </c>
      <c r="C63" s="137" t="e">
        <f>#REF!</f>
        <v>#REF!</v>
      </c>
      <c r="D63" s="137" t="e">
        <f>#REF!</f>
        <v>#REF!</v>
      </c>
      <c r="E63" s="137" t="e">
        <f>#REF!</f>
        <v>#REF!</v>
      </c>
      <c r="F63" s="137" t="e">
        <f>#REF!</f>
        <v>#REF!</v>
      </c>
      <c r="G63" s="137" t="e">
        <f>#REF!</f>
        <v>#REF!</v>
      </c>
      <c r="H63" s="137" t="e">
        <f>#REF!</f>
        <v>#REF!</v>
      </c>
      <c r="I63" s="137" t="e">
        <f>#REF!</f>
        <v>#REF!</v>
      </c>
      <c r="J63" s="137" t="e">
        <f>#REF!</f>
        <v>#REF!</v>
      </c>
      <c r="K63" s="137" t="e">
        <f>#REF!</f>
        <v>#REF!</v>
      </c>
      <c r="L63" s="137" t="e">
        <f>#REF!</f>
        <v>#REF!</v>
      </c>
      <c r="M63" s="137" t="e">
        <f>#REF!</f>
        <v>#REF!</v>
      </c>
      <c r="N63" s="137" t="e">
        <f>#REF!</f>
        <v>#REF!</v>
      </c>
      <c r="O63" s="137" t="e">
        <f>#REF!</f>
        <v>#REF!</v>
      </c>
      <c r="P63" s="137" t="e">
        <f>#REF!</f>
        <v>#REF!</v>
      </c>
      <c r="Q63" s="137" t="e">
        <f>#REF!</f>
        <v>#REF!</v>
      </c>
      <c r="R63" s="137" t="e">
        <f>#REF!</f>
        <v>#REF!</v>
      </c>
      <c r="S63" s="137" t="e">
        <f>#REF!</f>
        <v>#REF!</v>
      </c>
      <c r="T63" s="137" t="e">
        <f>#REF!</f>
        <v>#REF!</v>
      </c>
      <c r="U63" s="137" t="e">
        <f>#REF!</f>
        <v>#REF!</v>
      </c>
      <c r="V63" s="137" t="e">
        <f>#REF!</f>
        <v>#REF!</v>
      </c>
      <c r="W63" s="137" t="e">
        <f>#REF!</f>
        <v>#REF!</v>
      </c>
      <c r="X63" s="137" t="e">
        <f>#REF!</f>
        <v>#REF!</v>
      </c>
      <c r="Y63" s="137" t="e">
        <f>#REF!</f>
        <v>#REF!</v>
      </c>
      <c r="Z63" s="137" t="e">
        <f>#REF!</f>
        <v>#REF!</v>
      </c>
      <c r="AA63" s="137" t="e">
        <f>#REF!</f>
        <v>#REF!</v>
      </c>
      <c r="AB63" s="137" t="e">
        <f>#REF!</f>
        <v>#REF!</v>
      </c>
      <c r="AC63" s="137" t="e">
        <f>#REF!</f>
        <v>#REF!</v>
      </c>
      <c r="AD63" s="137" t="e">
        <f>#REF!</f>
        <v>#REF!</v>
      </c>
      <c r="AE63" s="137" t="e">
        <f>#REF!</f>
        <v>#REF!</v>
      </c>
    </row>
    <row r="64" spans="1:31" x14ac:dyDescent="0.2">
      <c r="A64" s="137" t="e">
        <f>#REF!</f>
        <v>#REF!</v>
      </c>
      <c r="B64" s="137" t="e">
        <f>#REF!</f>
        <v>#REF!</v>
      </c>
      <c r="C64" s="137" t="e">
        <f>#REF!</f>
        <v>#REF!</v>
      </c>
      <c r="D64" s="137" t="e">
        <f>#REF!</f>
        <v>#REF!</v>
      </c>
      <c r="E64" s="137" t="e">
        <f>#REF!</f>
        <v>#REF!</v>
      </c>
      <c r="F64" s="137" t="e">
        <f>#REF!</f>
        <v>#REF!</v>
      </c>
      <c r="G64" s="137" t="e">
        <f>#REF!</f>
        <v>#REF!</v>
      </c>
      <c r="H64" s="137" t="e">
        <f>#REF!</f>
        <v>#REF!</v>
      </c>
      <c r="I64" s="137" t="e">
        <f>#REF!</f>
        <v>#REF!</v>
      </c>
      <c r="J64" s="137" t="e">
        <f>#REF!</f>
        <v>#REF!</v>
      </c>
      <c r="K64" s="137" t="e">
        <f>#REF!</f>
        <v>#REF!</v>
      </c>
      <c r="L64" s="137" t="e">
        <f>#REF!</f>
        <v>#REF!</v>
      </c>
      <c r="M64" s="137" t="e">
        <f>#REF!</f>
        <v>#REF!</v>
      </c>
      <c r="N64" s="137" t="e">
        <f>#REF!</f>
        <v>#REF!</v>
      </c>
      <c r="O64" s="137" t="e">
        <f>#REF!</f>
        <v>#REF!</v>
      </c>
      <c r="P64" s="137" t="e">
        <f>#REF!</f>
        <v>#REF!</v>
      </c>
      <c r="Q64" s="137" t="e">
        <f>#REF!</f>
        <v>#REF!</v>
      </c>
      <c r="R64" s="137" t="e">
        <f>#REF!</f>
        <v>#REF!</v>
      </c>
      <c r="S64" s="137" t="e">
        <f>#REF!</f>
        <v>#REF!</v>
      </c>
      <c r="T64" s="137" t="e">
        <f>#REF!</f>
        <v>#REF!</v>
      </c>
      <c r="U64" s="137" t="e">
        <f>#REF!</f>
        <v>#REF!</v>
      </c>
      <c r="V64" s="137" t="e">
        <f>#REF!</f>
        <v>#REF!</v>
      </c>
      <c r="W64" s="137" t="e">
        <f>#REF!</f>
        <v>#REF!</v>
      </c>
      <c r="X64" s="137" t="e">
        <f>#REF!</f>
        <v>#REF!</v>
      </c>
      <c r="Y64" s="137" t="e">
        <f>#REF!</f>
        <v>#REF!</v>
      </c>
      <c r="Z64" s="137" t="e">
        <f>#REF!</f>
        <v>#REF!</v>
      </c>
      <c r="AA64" s="137" t="e">
        <f>#REF!</f>
        <v>#REF!</v>
      </c>
      <c r="AB64" s="137" t="e">
        <f>#REF!</f>
        <v>#REF!</v>
      </c>
      <c r="AC64" s="137" t="e">
        <f>#REF!</f>
        <v>#REF!</v>
      </c>
      <c r="AD64" s="137" t="e">
        <f>#REF!</f>
        <v>#REF!</v>
      </c>
      <c r="AE64" s="137" t="e">
        <f>#REF!</f>
        <v>#REF!</v>
      </c>
    </row>
    <row r="65" spans="1:31" x14ac:dyDescent="0.2">
      <c r="A65" s="137" t="e">
        <f>#REF!</f>
        <v>#REF!</v>
      </c>
      <c r="B65" s="137" t="e">
        <f>#REF!</f>
        <v>#REF!</v>
      </c>
      <c r="C65" s="137" t="e">
        <f>#REF!</f>
        <v>#REF!</v>
      </c>
      <c r="D65" s="137" t="e">
        <f>#REF!</f>
        <v>#REF!</v>
      </c>
      <c r="E65" s="137" t="e">
        <f>#REF!</f>
        <v>#REF!</v>
      </c>
      <c r="F65" s="137" t="e">
        <f>#REF!</f>
        <v>#REF!</v>
      </c>
      <c r="G65" s="137" t="e">
        <f>#REF!</f>
        <v>#REF!</v>
      </c>
      <c r="H65" s="137" t="e">
        <f>#REF!</f>
        <v>#REF!</v>
      </c>
      <c r="I65" s="137" t="e">
        <f>#REF!</f>
        <v>#REF!</v>
      </c>
      <c r="J65" s="137" t="e">
        <f>#REF!</f>
        <v>#REF!</v>
      </c>
      <c r="K65" s="137" t="e">
        <f>#REF!</f>
        <v>#REF!</v>
      </c>
      <c r="L65" s="137" t="e">
        <f>#REF!</f>
        <v>#REF!</v>
      </c>
      <c r="M65" s="137" t="e">
        <f>#REF!</f>
        <v>#REF!</v>
      </c>
      <c r="N65" s="137" t="e">
        <f>#REF!</f>
        <v>#REF!</v>
      </c>
      <c r="O65" s="137" t="e">
        <f>#REF!</f>
        <v>#REF!</v>
      </c>
      <c r="P65" s="137" t="e">
        <f>#REF!</f>
        <v>#REF!</v>
      </c>
      <c r="Q65" s="137" t="e">
        <f>#REF!</f>
        <v>#REF!</v>
      </c>
      <c r="R65" s="137" t="e">
        <f>#REF!</f>
        <v>#REF!</v>
      </c>
      <c r="S65" s="137" t="e">
        <f>#REF!</f>
        <v>#REF!</v>
      </c>
      <c r="T65" s="137" t="e">
        <f>#REF!</f>
        <v>#REF!</v>
      </c>
      <c r="U65" s="137" t="e">
        <f>#REF!</f>
        <v>#REF!</v>
      </c>
      <c r="V65" s="137" t="e">
        <f>#REF!</f>
        <v>#REF!</v>
      </c>
      <c r="W65" s="137" t="e">
        <f>#REF!</f>
        <v>#REF!</v>
      </c>
      <c r="X65" s="137" t="e">
        <f>#REF!</f>
        <v>#REF!</v>
      </c>
      <c r="Y65" s="137" t="e">
        <f>#REF!</f>
        <v>#REF!</v>
      </c>
      <c r="Z65" s="137" t="e">
        <f>#REF!</f>
        <v>#REF!</v>
      </c>
      <c r="AA65" s="137" t="e">
        <f>#REF!</f>
        <v>#REF!</v>
      </c>
      <c r="AB65" s="137" t="e">
        <f>#REF!</f>
        <v>#REF!</v>
      </c>
      <c r="AC65" s="137" t="e">
        <f>#REF!</f>
        <v>#REF!</v>
      </c>
      <c r="AD65" s="137" t="e">
        <f>#REF!</f>
        <v>#REF!</v>
      </c>
      <c r="AE65" s="137" t="e">
        <f>#REF!</f>
        <v>#REF!</v>
      </c>
    </row>
    <row r="66" spans="1:31" x14ac:dyDescent="0.2">
      <c r="A66" s="137" t="e">
        <f>#REF!</f>
        <v>#REF!</v>
      </c>
      <c r="B66" s="137" t="e">
        <f>#REF!</f>
        <v>#REF!</v>
      </c>
      <c r="C66" s="137" t="e">
        <f>#REF!</f>
        <v>#REF!</v>
      </c>
      <c r="D66" s="137" t="e">
        <f>#REF!</f>
        <v>#REF!</v>
      </c>
      <c r="E66" s="137" t="e">
        <f>#REF!</f>
        <v>#REF!</v>
      </c>
      <c r="F66" s="137" t="e">
        <f>#REF!</f>
        <v>#REF!</v>
      </c>
      <c r="G66" s="137" t="e">
        <f>#REF!</f>
        <v>#REF!</v>
      </c>
      <c r="H66" s="137" t="e">
        <f>#REF!</f>
        <v>#REF!</v>
      </c>
      <c r="I66" s="137" t="e">
        <f>#REF!</f>
        <v>#REF!</v>
      </c>
      <c r="J66" s="137" t="e">
        <f>#REF!</f>
        <v>#REF!</v>
      </c>
      <c r="K66" s="137" t="e">
        <f>#REF!</f>
        <v>#REF!</v>
      </c>
      <c r="L66" s="137" t="e">
        <f>#REF!</f>
        <v>#REF!</v>
      </c>
      <c r="M66" s="137" t="e">
        <f>#REF!</f>
        <v>#REF!</v>
      </c>
      <c r="N66" s="137" t="e">
        <f>#REF!</f>
        <v>#REF!</v>
      </c>
      <c r="O66" s="137" t="e">
        <f>#REF!</f>
        <v>#REF!</v>
      </c>
      <c r="P66" s="137" t="e">
        <f>#REF!</f>
        <v>#REF!</v>
      </c>
      <c r="Q66" s="137" t="e">
        <f>#REF!</f>
        <v>#REF!</v>
      </c>
      <c r="R66" s="137" t="e">
        <f>#REF!</f>
        <v>#REF!</v>
      </c>
      <c r="S66" s="137" t="e">
        <f>#REF!</f>
        <v>#REF!</v>
      </c>
      <c r="T66" s="137" t="e">
        <f>#REF!</f>
        <v>#REF!</v>
      </c>
      <c r="U66" s="137" t="e">
        <f>#REF!</f>
        <v>#REF!</v>
      </c>
      <c r="V66" s="137" t="e">
        <f>#REF!</f>
        <v>#REF!</v>
      </c>
      <c r="W66" s="137" t="e">
        <f>#REF!</f>
        <v>#REF!</v>
      </c>
      <c r="X66" s="137" t="e">
        <f>#REF!</f>
        <v>#REF!</v>
      </c>
      <c r="Y66" s="137" t="e">
        <f>#REF!</f>
        <v>#REF!</v>
      </c>
      <c r="Z66" s="137" t="e">
        <f>#REF!</f>
        <v>#REF!</v>
      </c>
      <c r="AA66" s="137" t="e">
        <f>#REF!</f>
        <v>#REF!</v>
      </c>
      <c r="AB66" s="137" t="e">
        <f>#REF!</f>
        <v>#REF!</v>
      </c>
      <c r="AC66" s="137" t="e">
        <f>#REF!</f>
        <v>#REF!</v>
      </c>
      <c r="AD66" s="137" t="e">
        <f>#REF!</f>
        <v>#REF!</v>
      </c>
      <c r="AE66" s="137" t="e">
        <f>#REF!</f>
        <v>#REF!</v>
      </c>
    </row>
    <row r="67" spans="1:31" x14ac:dyDescent="0.2">
      <c r="A67" s="137" t="e">
        <f>#REF!</f>
        <v>#REF!</v>
      </c>
      <c r="B67" s="137" t="e">
        <f>#REF!</f>
        <v>#REF!</v>
      </c>
      <c r="C67" s="137" t="e">
        <f>#REF!</f>
        <v>#REF!</v>
      </c>
      <c r="D67" s="137" t="e">
        <f>#REF!</f>
        <v>#REF!</v>
      </c>
      <c r="E67" s="137" t="e">
        <f>#REF!</f>
        <v>#REF!</v>
      </c>
      <c r="F67" s="137" t="e">
        <f>#REF!</f>
        <v>#REF!</v>
      </c>
      <c r="G67" s="137" t="e">
        <f>#REF!</f>
        <v>#REF!</v>
      </c>
      <c r="H67" s="137" t="e">
        <f>#REF!</f>
        <v>#REF!</v>
      </c>
      <c r="I67" s="137" t="e">
        <f>#REF!</f>
        <v>#REF!</v>
      </c>
      <c r="J67" s="137" t="e">
        <f>#REF!</f>
        <v>#REF!</v>
      </c>
      <c r="K67" s="137" t="e">
        <f>#REF!</f>
        <v>#REF!</v>
      </c>
      <c r="L67" s="137" t="e">
        <f>#REF!</f>
        <v>#REF!</v>
      </c>
      <c r="M67" s="137" t="e">
        <f>#REF!</f>
        <v>#REF!</v>
      </c>
      <c r="N67" s="137" t="e">
        <f>#REF!</f>
        <v>#REF!</v>
      </c>
      <c r="O67" s="137" t="e">
        <f>#REF!</f>
        <v>#REF!</v>
      </c>
      <c r="P67" s="137" t="e">
        <f>#REF!</f>
        <v>#REF!</v>
      </c>
      <c r="Q67" s="137" t="e">
        <f>#REF!</f>
        <v>#REF!</v>
      </c>
      <c r="R67" s="137" t="e">
        <f>#REF!</f>
        <v>#REF!</v>
      </c>
      <c r="S67" s="137" t="e">
        <f>#REF!</f>
        <v>#REF!</v>
      </c>
      <c r="T67" s="137" t="e">
        <f>#REF!</f>
        <v>#REF!</v>
      </c>
      <c r="U67" s="137" t="e">
        <f>#REF!</f>
        <v>#REF!</v>
      </c>
      <c r="V67" s="137" t="e">
        <f>#REF!</f>
        <v>#REF!</v>
      </c>
      <c r="W67" s="137" t="e">
        <f>#REF!</f>
        <v>#REF!</v>
      </c>
      <c r="X67" s="137" t="e">
        <f>#REF!</f>
        <v>#REF!</v>
      </c>
      <c r="Y67" s="137" t="e">
        <f>#REF!</f>
        <v>#REF!</v>
      </c>
      <c r="Z67" s="137" t="e">
        <f>#REF!</f>
        <v>#REF!</v>
      </c>
      <c r="AA67" s="137" t="e">
        <f>#REF!</f>
        <v>#REF!</v>
      </c>
      <c r="AB67" s="137" t="e">
        <f>#REF!</f>
        <v>#REF!</v>
      </c>
      <c r="AC67" s="137" t="e">
        <f>#REF!</f>
        <v>#REF!</v>
      </c>
      <c r="AD67" s="137" t="e">
        <f>#REF!</f>
        <v>#REF!</v>
      </c>
      <c r="AE67" s="137" t="e">
        <f>#REF!</f>
        <v>#REF!</v>
      </c>
    </row>
    <row r="68" spans="1:31" x14ac:dyDescent="0.2">
      <c r="A68" s="137" t="e">
        <f>#REF!</f>
        <v>#REF!</v>
      </c>
      <c r="B68" s="137" t="e">
        <f>#REF!</f>
        <v>#REF!</v>
      </c>
      <c r="C68" s="137" t="e">
        <f>#REF!</f>
        <v>#REF!</v>
      </c>
      <c r="D68" s="137" t="e">
        <f>#REF!</f>
        <v>#REF!</v>
      </c>
      <c r="E68" s="137" t="e">
        <f>#REF!</f>
        <v>#REF!</v>
      </c>
      <c r="F68" s="137" t="e">
        <f>#REF!</f>
        <v>#REF!</v>
      </c>
      <c r="G68" s="137" t="e">
        <f>#REF!</f>
        <v>#REF!</v>
      </c>
      <c r="H68" s="137" t="e">
        <f>#REF!</f>
        <v>#REF!</v>
      </c>
      <c r="I68" s="137" t="e">
        <f>#REF!</f>
        <v>#REF!</v>
      </c>
      <c r="J68" s="137" t="e">
        <f>#REF!</f>
        <v>#REF!</v>
      </c>
      <c r="K68" s="137" t="e">
        <f>#REF!</f>
        <v>#REF!</v>
      </c>
      <c r="L68" s="137" t="e">
        <f>#REF!</f>
        <v>#REF!</v>
      </c>
      <c r="M68" s="137" t="e">
        <f>#REF!</f>
        <v>#REF!</v>
      </c>
      <c r="N68" s="137" t="e">
        <f>#REF!</f>
        <v>#REF!</v>
      </c>
      <c r="O68" s="137" t="e">
        <f>#REF!</f>
        <v>#REF!</v>
      </c>
      <c r="P68" s="137" t="e">
        <f>#REF!</f>
        <v>#REF!</v>
      </c>
      <c r="Q68" s="137" t="e">
        <f>#REF!</f>
        <v>#REF!</v>
      </c>
      <c r="R68" s="137" t="e">
        <f>#REF!</f>
        <v>#REF!</v>
      </c>
      <c r="S68" s="137" t="e">
        <f>#REF!</f>
        <v>#REF!</v>
      </c>
      <c r="T68" s="137" t="e">
        <f>#REF!</f>
        <v>#REF!</v>
      </c>
      <c r="U68" s="137" t="e">
        <f>#REF!</f>
        <v>#REF!</v>
      </c>
      <c r="V68" s="137" t="e">
        <f>#REF!</f>
        <v>#REF!</v>
      </c>
      <c r="W68" s="137" t="e">
        <f>#REF!</f>
        <v>#REF!</v>
      </c>
      <c r="X68" s="137" t="e">
        <f>#REF!</f>
        <v>#REF!</v>
      </c>
      <c r="Y68" s="137" t="e">
        <f>#REF!</f>
        <v>#REF!</v>
      </c>
      <c r="Z68" s="137" t="e">
        <f>#REF!</f>
        <v>#REF!</v>
      </c>
      <c r="AA68" s="137" t="e">
        <f>#REF!</f>
        <v>#REF!</v>
      </c>
      <c r="AB68" s="137" t="e">
        <f>#REF!</f>
        <v>#REF!</v>
      </c>
      <c r="AC68" s="137" t="e">
        <f>#REF!</f>
        <v>#REF!</v>
      </c>
      <c r="AD68" s="137" t="e">
        <f>#REF!</f>
        <v>#REF!</v>
      </c>
      <c r="AE68" s="137" t="e">
        <f>#REF!</f>
        <v>#REF!</v>
      </c>
    </row>
    <row r="69" spans="1:31" x14ac:dyDescent="0.2">
      <c r="A69" s="137" t="e">
        <f>#REF!</f>
        <v>#REF!</v>
      </c>
      <c r="B69" s="137" t="e">
        <f>#REF!</f>
        <v>#REF!</v>
      </c>
      <c r="C69" s="137" t="e">
        <f>#REF!</f>
        <v>#REF!</v>
      </c>
      <c r="D69" s="137" t="e">
        <f>#REF!</f>
        <v>#REF!</v>
      </c>
      <c r="E69" s="137" t="e">
        <f>#REF!</f>
        <v>#REF!</v>
      </c>
      <c r="F69" s="137" t="e">
        <f>#REF!</f>
        <v>#REF!</v>
      </c>
      <c r="G69" s="137" t="e">
        <f>#REF!</f>
        <v>#REF!</v>
      </c>
      <c r="H69" s="137" t="e">
        <f>#REF!</f>
        <v>#REF!</v>
      </c>
      <c r="I69" s="137" t="e">
        <f>#REF!</f>
        <v>#REF!</v>
      </c>
      <c r="J69" s="137" t="e">
        <f>#REF!</f>
        <v>#REF!</v>
      </c>
      <c r="K69" s="137" t="e">
        <f>#REF!</f>
        <v>#REF!</v>
      </c>
      <c r="L69" s="137" t="e">
        <f>#REF!</f>
        <v>#REF!</v>
      </c>
      <c r="M69" s="137" t="e">
        <f>#REF!</f>
        <v>#REF!</v>
      </c>
      <c r="N69" s="137" t="e">
        <f>#REF!</f>
        <v>#REF!</v>
      </c>
      <c r="O69" s="137" t="e">
        <f>#REF!</f>
        <v>#REF!</v>
      </c>
      <c r="P69" s="137" t="e">
        <f>#REF!</f>
        <v>#REF!</v>
      </c>
      <c r="Q69" s="137" t="e">
        <f>#REF!</f>
        <v>#REF!</v>
      </c>
      <c r="R69" s="137" t="e">
        <f>#REF!</f>
        <v>#REF!</v>
      </c>
      <c r="S69" s="137" t="e">
        <f>#REF!</f>
        <v>#REF!</v>
      </c>
      <c r="T69" s="137" t="e">
        <f>#REF!</f>
        <v>#REF!</v>
      </c>
      <c r="U69" s="137" t="e">
        <f>#REF!</f>
        <v>#REF!</v>
      </c>
      <c r="V69" s="137" t="e">
        <f>#REF!</f>
        <v>#REF!</v>
      </c>
      <c r="W69" s="137" t="e">
        <f>#REF!</f>
        <v>#REF!</v>
      </c>
      <c r="X69" s="137" t="e">
        <f>#REF!</f>
        <v>#REF!</v>
      </c>
      <c r="Y69" s="137" t="e">
        <f>#REF!</f>
        <v>#REF!</v>
      </c>
      <c r="Z69" s="137" t="e">
        <f>#REF!</f>
        <v>#REF!</v>
      </c>
      <c r="AA69" s="137" t="e">
        <f>#REF!</f>
        <v>#REF!</v>
      </c>
      <c r="AB69" s="137" t="e">
        <f>#REF!</f>
        <v>#REF!</v>
      </c>
      <c r="AC69" s="137" t="e">
        <f>#REF!</f>
        <v>#REF!</v>
      </c>
      <c r="AD69" s="137" t="e">
        <f>#REF!</f>
        <v>#REF!</v>
      </c>
      <c r="AE69" s="137" t="e">
        <f>#REF!</f>
        <v>#REF!</v>
      </c>
    </row>
    <row r="70" spans="1:31" x14ac:dyDescent="0.2">
      <c r="A70" s="137" t="e">
        <f>#REF!</f>
        <v>#REF!</v>
      </c>
      <c r="B70" s="137" t="e">
        <f>#REF!</f>
        <v>#REF!</v>
      </c>
      <c r="C70" s="137" t="e">
        <f>#REF!</f>
        <v>#REF!</v>
      </c>
      <c r="D70" s="137" t="e">
        <f>#REF!</f>
        <v>#REF!</v>
      </c>
      <c r="E70" s="137" t="e">
        <f>#REF!</f>
        <v>#REF!</v>
      </c>
      <c r="F70" s="137" t="e">
        <f>#REF!</f>
        <v>#REF!</v>
      </c>
      <c r="G70" s="137" t="e">
        <f>#REF!</f>
        <v>#REF!</v>
      </c>
      <c r="H70" s="137" t="e">
        <f>#REF!</f>
        <v>#REF!</v>
      </c>
      <c r="I70" s="137" t="e">
        <f>#REF!</f>
        <v>#REF!</v>
      </c>
      <c r="J70" s="137" t="e">
        <f>#REF!</f>
        <v>#REF!</v>
      </c>
      <c r="K70" s="137" t="e">
        <f>#REF!</f>
        <v>#REF!</v>
      </c>
      <c r="L70" s="137" t="e">
        <f>#REF!</f>
        <v>#REF!</v>
      </c>
      <c r="M70" s="137" t="e">
        <f>#REF!</f>
        <v>#REF!</v>
      </c>
      <c r="N70" s="137" t="e">
        <f>#REF!</f>
        <v>#REF!</v>
      </c>
      <c r="O70" s="137" t="e">
        <f>#REF!</f>
        <v>#REF!</v>
      </c>
      <c r="P70" s="137" t="e">
        <f>#REF!</f>
        <v>#REF!</v>
      </c>
      <c r="Q70" s="137" t="e">
        <f>#REF!</f>
        <v>#REF!</v>
      </c>
      <c r="R70" s="137" t="e">
        <f>#REF!</f>
        <v>#REF!</v>
      </c>
      <c r="S70" s="137" t="e">
        <f>#REF!</f>
        <v>#REF!</v>
      </c>
      <c r="T70" s="137" t="e">
        <f>#REF!</f>
        <v>#REF!</v>
      </c>
      <c r="U70" s="137" t="e">
        <f>#REF!</f>
        <v>#REF!</v>
      </c>
      <c r="V70" s="137" t="e">
        <f>#REF!</f>
        <v>#REF!</v>
      </c>
      <c r="W70" s="137" t="e">
        <f>#REF!</f>
        <v>#REF!</v>
      </c>
      <c r="X70" s="137" t="e">
        <f>#REF!</f>
        <v>#REF!</v>
      </c>
      <c r="Y70" s="137" t="e">
        <f>#REF!</f>
        <v>#REF!</v>
      </c>
      <c r="Z70" s="137" t="e">
        <f>#REF!</f>
        <v>#REF!</v>
      </c>
      <c r="AA70" s="137" t="e">
        <f>#REF!</f>
        <v>#REF!</v>
      </c>
      <c r="AB70" s="137" t="e">
        <f>#REF!</f>
        <v>#REF!</v>
      </c>
      <c r="AC70" s="137" t="e">
        <f>#REF!</f>
        <v>#REF!</v>
      </c>
      <c r="AD70" s="137" t="e">
        <f>#REF!</f>
        <v>#REF!</v>
      </c>
      <c r="AE70" s="137" t="e">
        <f>#REF!</f>
        <v>#REF!</v>
      </c>
    </row>
    <row r="71" spans="1:31" x14ac:dyDescent="0.2">
      <c r="A71" s="137" t="e">
        <f>#REF!</f>
        <v>#REF!</v>
      </c>
      <c r="B71" s="137" t="e">
        <f>#REF!</f>
        <v>#REF!</v>
      </c>
      <c r="C71" s="137" t="e">
        <f>#REF!</f>
        <v>#REF!</v>
      </c>
      <c r="D71" s="137" t="e">
        <f>#REF!</f>
        <v>#REF!</v>
      </c>
      <c r="E71" s="137" t="e">
        <f>#REF!</f>
        <v>#REF!</v>
      </c>
      <c r="F71" s="137" t="e">
        <f>#REF!</f>
        <v>#REF!</v>
      </c>
      <c r="G71" s="137" t="e">
        <f>#REF!</f>
        <v>#REF!</v>
      </c>
      <c r="H71" s="137" t="e">
        <f>#REF!</f>
        <v>#REF!</v>
      </c>
      <c r="I71" s="137" t="e">
        <f>#REF!</f>
        <v>#REF!</v>
      </c>
      <c r="J71" s="137" t="e">
        <f>#REF!</f>
        <v>#REF!</v>
      </c>
      <c r="K71" s="137" t="e">
        <f>#REF!</f>
        <v>#REF!</v>
      </c>
      <c r="L71" s="137" t="e">
        <f>#REF!</f>
        <v>#REF!</v>
      </c>
      <c r="M71" s="137" t="e">
        <f>#REF!</f>
        <v>#REF!</v>
      </c>
      <c r="N71" s="137" t="e">
        <f>#REF!</f>
        <v>#REF!</v>
      </c>
      <c r="O71" s="137" t="e">
        <f>#REF!</f>
        <v>#REF!</v>
      </c>
      <c r="P71" s="137" t="e">
        <f>#REF!</f>
        <v>#REF!</v>
      </c>
      <c r="Q71" s="137" t="e">
        <f>#REF!</f>
        <v>#REF!</v>
      </c>
      <c r="R71" s="137" t="e">
        <f>#REF!</f>
        <v>#REF!</v>
      </c>
      <c r="S71" s="137" t="e">
        <f>#REF!</f>
        <v>#REF!</v>
      </c>
      <c r="T71" s="137" t="e">
        <f>#REF!</f>
        <v>#REF!</v>
      </c>
      <c r="U71" s="137" t="e">
        <f>#REF!</f>
        <v>#REF!</v>
      </c>
      <c r="V71" s="137" t="e">
        <f>#REF!</f>
        <v>#REF!</v>
      </c>
      <c r="W71" s="137" t="e">
        <f>#REF!</f>
        <v>#REF!</v>
      </c>
      <c r="X71" s="137" t="e">
        <f>#REF!</f>
        <v>#REF!</v>
      </c>
      <c r="Y71" s="137" t="e">
        <f>#REF!</f>
        <v>#REF!</v>
      </c>
      <c r="Z71" s="137" t="e">
        <f>#REF!</f>
        <v>#REF!</v>
      </c>
      <c r="AA71" s="137" t="e">
        <f>#REF!</f>
        <v>#REF!</v>
      </c>
      <c r="AB71" s="137" t="e">
        <f>#REF!</f>
        <v>#REF!</v>
      </c>
      <c r="AC71" s="137" t="e">
        <f>#REF!</f>
        <v>#REF!</v>
      </c>
      <c r="AD71" s="137" t="e">
        <f>#REF!</f>
        <v>#REF!</v>
      </c>
      <c r="AE71" s="137" t="e">
        <f>#REF!</f>
        <v>#REF!</v>
      </c>
    </row>
    <row r="72" spans="1:31" x14ac:dyDescent="0.2">
      <c r="B72" s="137"/>
    </row>
    <row r="73" spans="1:31" x14ac:dyDescent="0.2">
      <c r="B73" s="137"/>
    </row>
    <row r="74" spans="1:31" x14ac:dyDescent="0.2">
      <c r="A74" s="136" t="e">
        <f>#REF!</f>
        <v>#REF!</v>
      </c>
      <c r="B74" s="136" t="e">
        <f>#REF!</f>
        <v>#REF!</v>
      </c>
      <c r="C74" s="136" t="e">
        <f>#REF!</f>
        <v>#REF!</v>
      </c>
      <c r="D74" s="136" t="e">
        <f>#REF!</f>
        <v>#REF!</v>
      </c>
      <c r="E74" s="136" t="e">
        <f>#REF!</f>
        <v>#REF!</v>
      </c>
      <c r="F74" s="136" t="e">
        <f>#REF!</f>
        <v>#REF!</v>
      </c>
      <c r="G74" s="136" t="e">
        <f>#REF!</f>
        <v>#REF!</v>
      </c>
      <c r="H74" s="136" t="e">
        <f>#REF!</f>
        <v>#REF!</v>
      </c>
      <c r="I74" s="136" t="e">
        <f>#REF!</f>
        <v>#REF!</v>
      </c>
      <c r="J74" s="136" t="e">
        <f>#REF!</f>
        <v>#REF!</v>
      </c>
      <c r="K74" s="136" t="e">
        <f>#REF!</f>
        <v>#REF!</v>
      </c>
      <c r="L74" s="136" t="e">
        <f>#REF!</f>
        <v>#REF!</v>
      </c>
      <c r="M74" s="136" t="e">
        <f>#REF!</f>
        <v>#REF!</v>
      </c>
      <c r="N74" s="136" t="e">
        <f>#REF!</f>
        <v>#REF!</v>
      </c>
      <c r="O74" s="136" t="e">
        <f>#REF!</f>
        <v>#REF!</v>
      </c>
      <c r="P74" s="136" t="e">
        <f>#REF!</f>
        <v>#REF!</v>
      </c>
      <c r="Q74" s="136" t="e">
        <f>#REF!</f>
        <v>#REF!</v>
      </c>
      <c r="R74" s="136" t="e">
        <f>#REF!</f>
        <v>#REF!</v>
      </c>
      <c r="S74" s="136" t="e">
        <f>#REF!</f>
        <v>#REF!</v>
      </c>
      <c r="T74" s="136" t="e">
        <f>#REF!</f>
        <v>#REF!</v>
      </c>
      <c r="U74" s="136" t="e">
        <f>#REF!</f>
        <v>#REF!</v>
      </c>
      <c r="V74" s="136" t="e">
        <f>#REF!</f>
        <v>#REF!</v>
      </c>
      <c r="W74" s="136" t="e">
        <f>#REF!</f>
        <v>#REF!</v>
      </c>
      <c r="X74" s="136" t="e">
        <f>#REF!</f>
        <v>#REF!</v>
      </c>
      <c r="Y74" s="136" t="e">
        <f>#REF!</f>
        <v>#REF!</v>
      </c>
      <c r="Z74" s="136" t="e">
        <f>#REF!</f>
        <v>#REF!</v>
      </c>
      <c r="AA74" s="136" t="e">
        <f>#REF!</f>
        <v>#REF!</v>
      </c>
      <c r="AB74" s="136" t="e">
        <f>#REF!</f>
        <v>#REF!</v>
      </c>
      <c r="AC74" s="136" t="e">
        <f>#REF!</f>
        <v>#REF!</v>
      </c>
      <c r="AD74" s="136"/>
      <c r="AE74" s="136"/>
    </row>
    <row r="75" spans="1:31" x14ac:dyDescent="0.2">
      <c r="A75" s="136" t="e">
        <f>#REF!</f>
        <v>#REF!</v>
      </c>
      <c r="B75" s="136" t="e">
        <f>#REF!</f>
        <v>#REF!</v>
      </c>
      <c r="C75" s="136" t="e">
        <f>#REF!</f>
        <v>#REF!</v>
      </c>
      <c r="D75" s="136" t="e">
        <f>#REF!</f>
        <v>#REF!</v>
      </c>
      <c r="E75" s="136" t="e">
        <f>#REF!</f>
        <v>#REF!</v>
      </c>
      <c r="F75" s="136" t="e">
        <f>#REF!</f>
        <v>#REF!</v>
      </c>
      <c r="G75" s="136" t="e">
        <f>#REF!</f>
        <v>#REF!</v>
      </c>
      <c r="H75" s="136" t="e">
        <f>#REF!</f>
        <v>#REF!</v>
      </c>
      <c r="I75" s="136" t="e">
        <f>#REF!</f>
        <v>#REF!</v>
      </c>
      <c r="J75" s="136" t="e">
        <f>#REF!</f>
        <v>#REF!</v>
      </c>
      <c r="K75" s="136" t="e">
        <f>#REF!</f>
        <v>#REF!</v>
      </c>
      <c r="L75" s="136" t="e">
        <f>#REF!</f>
        <v>#REF!</v>
      </c>
      <c r="M75" s="136" t="e">
        <f>#REF!</f>
        <v>#REF!</v>
      </c>
      <c r="N75" s="136" t="e">
        <f>#REF!</f>
        <v>#REF!</v>
      </c>
      <c r="O75" s="136" t="e">
        <f>#REF!</f>
        <v>#REF!</v>
      </c>
      <c r="P75" s="136" t="e">
        <f>#REF!</f>
        <v>#REF!</v>
      </c>
      <c r="Q75" s="136" t="e">
        <f>#REF!</f>
        <v>#REF!</v>
      </c>
      <c r="R75" s="136" t="e">
        <f>#REF!</f>
        <v>#REF!</v>
      </c>
      <c r="S75" s="136" t="e">
        <f>#REF!</f>
        <v>#REF!</v>
      </c>
      <c r="T75" s="136" t="e">
        <f>#REF!</f>
        <v>#REF!</v>
      </c>
      <c r="U75" s="136" t="e">
        <f>#REF!</f>
        <v>#REF!</v>
      </c>
      <c r="V75" s="136" t="e">
        <f>#REF!</f>
        <v>#REF!</v>
      </c>
      <c r="W75" s="136" t="e">
        <f>#REF!</f>
        <v>#REF!</v>
      </c>
      <c r="X75" s="136" t="e">
        <f>#REF!</f>
        <v>#REF!</v>
      </c>
      <c r="Y75" s="136" t="e">
        <f>#REF!</f>
        <v>#REF!</v>
      </c>
      <c r="Z75" s="136" t="e">
        <f>#REF!</f>
        <v>#REF!</v>
      </c>
      <c r="AA75" s="136" t="e">
        <f>#REF!</f>
        <v>#REF!</v>
      </c>
      <c r="AB75" s="136" t="e">
        <f>#REF!</f>
        <v>#REF!</v>
      </c>
      <c r="AC75" s="136" t="e">
        <f>#REF!</f>
        <v>#REF!</v>
      </c>
    </row>
    <row r="76" spans="1:31" x14ac:dyDescent="0.2">
      <c r="A76" s="136" t="e">
        <f>#REF!</f>
        <v>#REF!</v>
      </c>
      <c r="B76" s="136" t="e">
        <f>#REF!</f>
        <v>#REF!</v>
      </c>
      <c r="C76" s="136" t="e">
        <f>#REF!</f>
        <v>#REF!</v>
      </c>
      <c r="D76" s="136" t="e">
        <f>#REF!</f>
        <v>#REF!</v>
      </c>
      <c r="E76" s="136" t="e">
        <f>#REF!</f>
        <v>#REF!</v>
      </c>
      <c r="F76" s="136" t="e">
        <f>#REF!</f>
        <v>#REF!</v>
      </c>
      <c r="G76" s="136" t="e">
        <f>#REF!</f>
        <v>#REF!</v>
      </c>
      <c r="H76" s="136" t="e">
        <f>#REF!</f>
        <v>#REF!</v>
      </c>
      <c r="I76" s="136" t="e">
        <f>#REF!</f>
        <v>#REF!</v>
      </c>
      <c r="J76" s="136" t="e">
        <f>#REF!</f>
        <v>#REF!</v>
      </c>
      <c r="K76" s="136" t="e">
        <f>#REF!</f>
        <v>#REF!</v>
      </c>
      <c r="L76" s="136" t="e">
        <f>#REF!</f>
        <v>#REF!</v>
      </c>
      <c r="M76" s="136" t="e">
        <f>#REF!</f>
        <v>#REF!</v>
      </c>
      <c r="N76" s="136" t="e">
        <f>#REF!</f>
        <v>#REF!</v>
      </c>
      <c r="O76" s="136" t="e">
        <f>#REF!</f>
        <v>#REF!</v>
      </c>
      <c r="P76" s="136" t="e">
        <f>#REF!</f>
        <v>#REF!</v>
      </c>
      <c r="Q76" s="136" t="e">
        <f>#REF!</f>
        <v>#REF!</v>
      </c>
      <c r="R76" s="136" t="e">
        <f>#REF!</f>
        <v>#REF!</v>
      </c>
      <c r="S76" s="136" t="e">
        <f>#REF!</f>
        <v>#REF!</v>
      </c>
      <c r="T76" s="136" t="e">
        <f>#REF!</f>
        <v>#REF!</v>
      </c>
      <c r="U76" s="136" t="e">
        <f>#REF!</f>
        <v>#REF!</v>
      </c>
      <c r="V76" s="136" t="e">
        <f>#REF!</f>
        <v>#REF!</v>
      </c>
      <c r="W76" s="136" t="e">
        <f>#REF!</f>
        <v>#REF!</v>
      </c>
      <c r="X76" s="136" t="e">
        <f>#REF!</f>
        <v>#REF!</v>
      </c>
      <c r="Y76" s="136" t="e">
        <f>#REF!</f>
        <v>#REF!</v>
      </c>
      <c r="Z76" s="136" t="e">
        <f>#REF!</f>
        <v>#REF!</v>
      </c>
      <c r="AA76" s="136" t="e">
        <f>#REF!</f>
        <v>#REF!</v>
      </c>
      <c r="AB76" s="136" t="e">
        <f>#REF!</f>
        <v>#REF!</v>
      </c>
      <c r="AC76" s="136" t="e">
        <f>#REF!</f>
        <v>#REF!</v>
      </c>
    </row>
    <row r="77" spans="1:31" x14ac:dyDescent="0.2">
      <c r="A77" s="136" t="e">
        <f>#REF!</f>
        <v>#REF!</v>
      </c>
      <c r="B77" s="136" t="e">
        <f>#REF!</f>
        <v>#REF!</v>
      </c>
      <c r="C77" s="136" t="e">
        <f>#REF!</f>
        <v>#REF!</v>
      </c>
      <c r="D77" s="136" t="e">
        <f>#REF!</f>
        <v>#REF!</v>
      </c>
      <c r="E77" s="136" t="e">
        <f>#REF!</f>
        <v>#REF!</v>
      </c>
      <c r="F77" s="136" t="e">
        <f>#REF!</f>
        <v>#REF!</v>
      </c>
      <c r="G77" s="136" t="e">
        <f>#REF!</f>
        <v>#REF!</v>
      </c>
      <c r="H77" s="136" t="e">
        <f>#REF!</f>
        <v>#REF!</v>
      </c>
      <c r="I77" s="136" t="e">
        <f>#REF!</f>
        <v>#REF!</v>
      </c>
      <c r="J77" s="136" t="e">
        <f>#REF!</f>
        <v>#REF!</v>
      </c>
      <c r="K77" s="136" t="e">
        <f>#REF!</f>
        <v>#REF!</v>
      </c>
      <c r="L77" s="136" t="e">
        <f>#REF!</f>
        <v>#REF!</v>
      </c>
      <c r="M77" s="136" t="e">
        <f>#REF!</f>
        <v>#REF!</v>
      </c>
      <c r="N77" s="136" t="e">
        <f>#REF!</f>
        <v>#REF!</v>
      </c>
      <c r="O77" s="136" t="e">
        <f>#REF!</f>
        <v>#REF!</v>
      </c>
      <c r="P77" s="136" t="e">
        <f>#REF!</f>
        <v>#REF!</v>
      </c>
      <c r="Q77" s="136" t="e">
        <f>#REF!</f>
        <v>#REF!</v>
      </c>
      <c r="R77" s="136" t="e">
        <f>#REF!</f>
        <v>#REF!</v>
      </c>
      <c r="S77" s="136" t="e">
        <f>#REF!</f>
        <v>#REF!</v>
      </c>
      <c r="T77" s="136" t="e">
        <f>#REF!</f>
        <v>#REF!</v>
      </c>
      <c r="U77" s="136" t="e">
        <f>#REF!</f>
        <v>#REF!</v>
      </c>
      <c r="V77" s="136" t="e">
        <f>#REF!</f>
        <v>#REF!</v>
      </c>
      <c r="W77" s="136" t="e">
        <f>#REF!</f>
        <v>#REF!</v>
      </c>
      <c r="X77" s="136" t="e">
        <f>#REF!</f>
        <v>#REF!</v>
      </c>
      <c r="Y77" s="136" t="e">
        <f>#REF!</f>
        <v>#REF!</v>
      </c>
      <c r="Z77" s="136" t="e">
        <f>#REF!</f>
        <v>#REF!</v>
      </c>
      <c r="AA77" s="136" t="e">
        <f>#REF!</f>
        <v>#REF!</v>
      </c>
      <c r="AB77" s="136" t="e">
        <f>#REF!</f>
        <v>#REF!</v>
      </c>
      <c r="AC77" s="136" t="e">
        <f>#REF!</f>
        <v>#REF!</v>
      </c>
    </row>
    <row r="78" spans="1:31" x14ac:dyDescent="0.2">
      <c r="A78" s="136" t="e">
        <f>#REF!</f>
        <v>#REF!</v>
      </c>
      <c r="B78" s="136" t="e">
        <f>#REF!</f>
        <v>#REF!</v>
      </c>
      <c r="C78" s="136" t="e">
        <f>#REF!</f>
        <v>#REF!</v>
      </c>
      <c r="D78" s="136" t="e">
        <f>#REF!</f>
        <v>#REF!</v>
      </c>
      <c r="E78" s="136" t="e">
        <f>#REF!</f>
        <v>#REF!</v>
      </c>
      <c r="F78" s="136" t="e">
        <f>#REF!</f>
        <v>#REF!</v>
      </c>
      <c r="G78" s="136" t="e">
        <f>#REF!</f>
        <v>#REF!</v>
      </c>
      <c r="H78" s="136" t="e">
        <f>#REF!</f>
        <v>#REF!</v>
      </c>
      <c r="I78" s="136" t="e">
        <f>#REF!</f>
        <v>#REF!</v>
      </c>
      <c r="J78" s="136" t="e">
        <f>#REF!</f>
        <v>#REF!</v>
      </c>
      <c r="K78" s="136" t="e">
        <f>#REF!</f>
        <v>#REF!</v>
      </c>
      <c r="L78" s="136" t="e">
        <f>#REF!</f>
        <v>#REF!</v>
      </c>
      <c r="M78" s="136" t="e">
        <f>#REF!</f>
        <v>#REF!</v>
      </c>
      <c r="N78" s="136" t="e">
        <f>#REF!</f>
        <v>#REF!</v>
      </c>
      <c r="O78" s="136" t="e">
        <f>#REF!</f>
        <v>#REF!</v>
      </c>
      <c r="P78" s="136" t="e">
        <f>#REF!</f>
        <v>#REF!</v>
      </c>
      <c r="Q78" s="136" t="e">
        <f>#REF!</f>
        <v>#REF!</v>
      </c>
      <c r="R78" s="136" t="e">
        <f>#REF!</f>
        <v>#REF!</v>
      </c>
      <c r="S78" s="136" t="e">
        <f>#REF!</f>
        <v>#REF!</v>
      </c>
      <c r="T78" s="136" t="e">
        <f>#REF!</f>
        <v>#REF!</v>
      </c>
      <c r="U78" s="136" t="e">
        <f>#REF!</f>
        <v>#REF!</v>
      </c>
      <c r="V78" s="136" t="e">
        <f>#REF!</f>
        <v>#REF!</v>
      </c>
      <c r="W78" s="136" t="e">
        <f>#REF!</f>
        <v>#REF!</v>
      </c>
      <c r="X78" s="136" t="e">
        <f>#REF!</f>
        <v>#REF!</v>
      </c>
      <c r="Y78" s="136" t="e">
        <f>#REF!</f>
        <v>#REF!</v>
      </c>
      <c r="Z78" s="136" t="e">
        <f>#REF!</f>
        <v>#REF!</v>
      </c>
      <c r="AA78" s="136" t="e">
        <f>#REF!</f>
        <v>#REF!</v>
      </c>
      <c r="AB78" s="136" t="e">
        <f>#REF!</f>
        <v>#REF!</v>
      </c>
      <c r="AC78" s="136" t="e">
        <f>#REF!</f>
        <v>#REF!</v>
      </c>
    </row>
    <row r="79" spans="1:31" x14ac:dyDescent="0.2">
      <c r="B79" s="136"/>
    </row>
    <row r="81" spans="1:31" x14ac:dyDescent="0.2">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row>
    <row r="82" spans="1:31" x14ac:dyDescent="0.2">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row>
    <row r="83" spans="1:31" x14ac:dyDescent="0.2">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row>
    <row r="84" spans="1:31" x14ac:dyDescent="0.2">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row>
    <row r="85" spans="1:31" x14ac:dyDescent="0.2">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c r="S85" t="e">
        <f>#REF!</f>
        <v>#REF!</v>
      </c>
      <c r="T85" t="e">
        <f>#REF!</f>
        <v>#REF!</v>
      </c>
      <c r="U85" t="e">
        <f>#REF!</f>
        <v>#REF!</v>
      </c>
      <c r="V85" t="e">
        <f>#REF!</f>
        <v>#REF!</v>
      </c>
      <c r="W85" t="e">
        <f>#REF!</f>
        <v>#REF!</v>
      </c>
      <c r="X85" t="e">
        <f>#REF!</f>
        <v>#REF!</v>
      </c>
      <c r="Y85" t="e">
        <f>#REF!</f>
        <v>#REF!</v>
      </c>
      <c r="Z85" t="e">
        <f>#REF!</f>
        <v>#REF!</v>
      </c>
      <c r="AA85" t="e">
        <f>#REF!</f>
        <v>#REF!</v>
      </c>
      <c r="AB85" t="e">
        <f>#REF!</f>
        <v>#REF!</v>
      </c>
      <c r="AC85" t="e">
        <f>#REF!</f>
        <v>#REF!</v>
      </c>
      <c r="AD85" t="e">
        <f>#REF!</f>
        <v>#REF!</v>
      </c>
      <c r="AE85" t="e">
        <f>#REF!</f>
        <v>#REF!</v>
      </c>
    </row>
    <row r="86" spans="1:31" x14ac:dyDescent="0.2">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c r="S86" t="e">
        <f>#REF!</f>
        <v>#REF!</v>
      </c>
      <c r="T86" t="e">
        <f>#REF!</f>
        <v>#REF!</v>
      </c>
      <c r="U86" t="e">
        <f>#REF!</f>
        <v>#REF!</v>
      </c>
      <c r="V86" t="e">
        <f>#REF!</f>
        <v>#REF!</v>
      </c>
      <c r="W86" t="e">
        <f>#REF!</f>
        <v>#REF!</v>
      </c>
      <c r="X86" t="e">
        <f>#REF!</f>
        <v>#REF!</v>
      </c>
      <c r="Y86" t="e">
        <f>#REF!</f>
        <v>#REF!</v>
      </c>
      <c r="Z86" t="e">
        <f>#REF!</f>
        <v>#REF!</v>
      </c>
      <c r="AA86" t="e">
        <f>#REF!</f>
        <v>#REF!</v>
      </c>
      <c r="AB86" t="e">
        <f>#REF!</f>
        <v>#REF!</v>
      </c>
      <c r="AC86" t="e">
        <f>#REF!</f>
        <v>#REF!</v>
      </c>
      <c r="AD86" t="e">
        <f>#REF!</f>
        <v>#REF!</v>
      </c>
      <c r="AE86" t="e">
        <f>#REF!</f>
        <v>#REF!</v>
      </c>
    </row>
    <row r="87" spans="1:31" x14ac:dyDescent="0.2">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c r="S87" t="e">
        <f>#REF!</f>
        <v>#REF!</v>
      </c>
      <c r="T87" t="e">
        <f>#REF!</f>
        <v>#REF!</v>
      </c>
      <c r="U87" t="e">
        <f>#REF!</f>
        <v>#REF!</v>
      </c>
      <c r="V87" t="e">
        <f>#REF!</f>
        <v>#REF!</v>
      </c>
      <c r="W87" t="e">
        <f>#REF!</f>
        <v>#REF!</v>
      </c>
      <c r="X87" t="e">
        <f>#REF!</f>
        <v>#REF!</v>
      </c>
      <c r="Y87" t="e">
        <f>#REF!</f>
        <v>#REF!</v>
      </c>
      <c r="Z87" t="e">
        <f>#REF!</f>
        <v>#REF!</v>
      </c>
      <c r="AA87" t="e">
        <f>#REF!</f>
        <v>#REF!</v>
      </c>
      <c r="AB87" t="e">
        <f>#REF!</f>
        <v>#REF!</v>
      </c>
      <c r="AC87" t="e">
        <f>#REF!</f>
        <v>#REF!</v>
      </c>
      <c r="AD87" t="e">
        <f>#REF!</f>
        <v>#REF!</v>
      </c>
      <c r="AE87" t="e">
        <f>#REF!</f>
        <v>#REF!</v>
      </c>
    </row>
    <row r="88" spans="1:31" x14ac:dyDescent="0.2">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c r="S88" t="e">
        <f>#REF!</f>
        <v>#REF!</v>
      </c>
      <c r="T88" t="e">
        <f>#REF!</f>
        <v>#REF!</v>
      </c>
      <c r="U88" t="e">
        <f>#REF!</f>
        <v>#REF!</v>
      </c>
      <c r="V88" t="e">
        <f>#REF!</f>
        <v>#REF!</v>
      </c>
      <c r="W88" t="e">
        <f>#REF!</f>
        <v>#REF!</v>
      </c>
      <c r="X88" t="e">
        <f>#REF!</f>
        <v>#REF!</v>
      </c>
      <c r="Y88" t="e">
        <f>#REF!</f>
        <v>#REF!</v>
      </c>
      <c r="Z88" t="e">
        <f>#REF!</f>
        <v>#REF!</v>
      </c>
      <c r="AA88" t="e">
        <f>#REF!</f>
        <v>#REF!</v>
      </c>
      <c r="AB88" t="e">
        <f>#REF!</f>
        <v>#REF!</v>
      </c>
      <c r="AC88" t="e">
        <f>#REF!</f>
        <v>#REF!</v>
      </c>
      <c r="AD88" t="e">
        <f>#REF!</f>
        <v>#REF!</v>
      </c>
      <c r="AE88" t="e">
        <f>#REF!</f>
        <v>#REF!</v>
      </c>
    </row>
    <row r="90" spans="1:31" x14ac:dyDescent="0.2">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c r="S90" t="e">
        <f>#REF!</f>
        <v>#REF!</v>
      </c>
      <c r="T90" t="e">
        <f>#REF!</f>
        <v>#REF!</v>
      </c>
      <c r="U90" t="e">
        <f>#REF!</f>
        <v>#REF!</v>
      </c>
      <c r="V90" t="e">
        <f>#REF!</f>
        <v>#REF!</v>
      </c>
      <c r="W90" t="e">
        <f>#REF!</f>
        <v>#REF!</v>
      </c>
      <c r="X90" t="e">
        <f>#REF!</f>
        <v>#REF!</v>
      </c>
      <c r="Y90" t="e">
        <f>#REF!</f>
        <v>#REF!</v>
      </c>
      <c r="Z90" t="e">
        <f>#REF!</f>
        <v>#REF!</v>
      </c>
      <c r="AA90" t="e">
        <f>#REF!</f>
        <v>#REF!</v>
      </c>
      <c r="AB90" t="e">
        <f>#REF!</f>
        <v>#REF!</v>
      </c>
      <c r="AC90" t="e">
        <f>#REF!</f>
        <v>#REF!</v>
      </c>
      <c r="AD90" t="e">
        <f>#REF!</f>
        <v>#REF!</v>
      </c>
      <c r="AE90" t="e">
        <f>#REF!</f>
        <v>#REF!</v>
      </c>
    </row>
    <row r="91" spans="1:31" x14ac:dyDescent="0.2">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c r="S91" t="e">
        <f>#REF!</f>
        <v>#REF!</v>
      </c>
      <c r="T91" t="e">
        <f>#REF!</f>
        <v>#REF!</v>
      </c>
      <c r="U91" t="e">
        <f>#REF!</f>
        <v>#REF!</v>
      </c>
      <c r="V91" t="e">
        <f>#REF!</f>
        <v>#REF!</v>
      </c>
      <c r="W91" t="e">
        <f>#REF!</f>
        <v>#REF!</v>
      </c>
      <c r="X91" t="e">
        <f>#REF!</f>
        <v>#REF!</v>
      </c>
      <c r="Y91" t="e">
        <f>#REF!</f>
        <v>#REF!</v>
      </c>
      <c r="Z91" t="e">
        <f>#REF!</f>
        <v>#REF!</v>
      </c>
      <c r="AA91" t="e">
        <f>#REF!</f>
        <v>#REF!</v>
      </c>
      <c r="AB91" t="e">
        <f>#REF!</f>
        <v>#REF!</v>
      </c>
      <c r="AC91" t="e">
        <f>#REF!</f>
        <v>#REF!</v>
      </c>
      <c r="AD91" t="e">
        <f>#REF!</f>
        <v>#REF!</v>
      </c>
      <c r="AE91" t="e">
        <f>#REF!</f>
        <v>#REF!</v>
      </c>
    </row>
    <row r="92" spans="1:31" x14ac:dyDescent="0.2">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c r="S92" t="e">
        <f>#REF!</f>
        <v>#REF!</v>
      </c>
      <c r="T92" t="e">
        <f>#REF!</f>
        <v>#REF!</v>
      </c>
      <c r="U92" t="e">
        <f>#REF!</f>
        <v>#REF!</v>
      </c>
      <c r="V92" t="e">
        <f>#REF!</f>
        <v>#REF!</v>
      </c>
      <c r="W92" t="e">
        <f>#REF!</f>
        <v>#REF!</v>
      </c>
      <c r="X92" t="e">
        <f>#REF!</f>
        <v>#REF!</v>
      </c>
      <c r="Y92" t="e">
        <f>#REF!</f>
        <v>#REF!</v>
      </c>
      <c r="Z92" t="e">
        <f>#REF!</f>
        <v>#REF!</v>
      </c>
      <c r="AA92" t="e">
        <f>#REF!</f>
        <v>#REF!</v>
      </c>
      <c r="AB92" t="e">
        <f>#REF!</f>
        <v>#REF!</v>
      </c>
      <c r="AC92" t="e">
        <f>#REF!</f>
        <v>#REF!</v>
      </c>
      <c r="AD92" t="e">
        <f>#REF!</f>
        <v>#REF!</v>
      </c>
      <c r="AE92" t="e">
        <f>#REF!</f>
        <v>#REF!</v>
      </c>
    </row>
    <row r="93" spans="1:31" x14ac:dyDescent="0.2">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c r="S93" t="e">
        <f>#REF!</f>
        <v>#REF!</v>
      </c>
      <c r="T93" t="e">
        <f>#REF!</f>
        <v>#REF!</v>
      </c>
      <c r="U93" t="e">
        <f>#REF!</f>
        <v>#REF!</v>
      </c>
      <c r="V93" t="e">
        <f>#REF!</f>
        <v>#REF!</v>
      </c>
      <c r="W93" t="e">
        <f>#REF!</f>
        <v>#REF!</v>
      </c>
      <c r="X93" t="e">
        <f>#REF!</f>
        <v>#REF!</v>
      </c>
      <c r="Y93" t="e">
        <f>#REF!</f>
        <v>#REF!</v>
      </c>
      <c r="Z93" t="e">
        <f>#REF!</f>
        <v>#REF!</v>
      </c>
      <c r="AA93" t="e">
        <f>#REF!</f>
        <v>#REF!</v>
      </c>
      <c r="AB93" t="e">
        <f>#REF!</f>
        <v>#REF!</v>
      </c>
      <c r="AC93" t="e">
        <f>#REF!</f>
        <v>#REF!</v>
      </c>
      <c r="AD93" t="e">
        <f>#REF!</f>
        <v>#REF!</v>
      </c>
      <c r="AE93" t="e">
        <f>#REF!</f>
        <v>#REF!</v>
      </c>
    </row>
    <row r="94" spans="1:31" x14ac:dyDescent="0.2">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c r="S94" t="e">
        <f>#REF!</f>
        <v>#REF!</v>
      </c>
      <c r="T94" t="e">
        <f>#REF!</f>
        <v>#REF!</v>
      </c>
      <c r="U94" t="e">
        <f>#REF!</f>
        <v>#REF!</v>
      </c>
      <c r="V94" t="e">
        <f>#REF!</f>
        <v>#REF!</v>
      </c>
      <c r="W94" t="e">
        <f>#REF!</f>
        <v>#REF!</v>
      </c>
      <c r="X94" t="e">
        <f>#REF!</f>
        <v>#REF!</v>
      </c>
      <c r="Y94" t="e">
        <f>#REF!</f>
        <v>#REF!</v>
      </c>
      <c r="Z94" t="e">
        <f>#REF!</f>
        <v>#REF!</v>
      </c>
      <c r="AA94" t="e">
        <f>#REF!</f>
        <v>#REF!</v>
      </c>
      <c r="AB94" t="e">
        <f>#REF!</f>
        <v>#REF!</v>
      </c>
      <c r="AC94" t="e">
        <f>#REF!</f>
        <v>#REF!</v>
      </c>
      <c r="AD94" t="e">
        <f>#REF!</f>
        <v>#REF!</v>
      </c>
      <c r="AE94" t="e">
        <f>#REF!</f>
        <v>#REF!</v>
      </c>
    </row>
    <row r="95" spans="1:31" x14ac:dyDescent="0.2">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c r="S95" t="e">
        <f>#REF!</f>
        <v>#REF!</v>
      </c>
      <c r="T95" t="e">
        <f>#REF!</f>
        <v>#REF!</v>
      </c>
      <c r="U95" t="e">
        <f>#REF!</f>
        <v>#REF!</v>
      </c>
      <c r="V95" t="e">
        <f>#REF!</f>
        <v>#REF!</v>
      </c>
      <c r="W95" t="e">
        <f>#REF!</f>
        <v>#REF!</v>
      </c>
      <c r="X95" t="e">
        <f>#REF!</f>
        <v>#REF!</v>
      </c>
      <c r="Y95" t="e">
        <f>#REF!</f>
        <v>#REF!</v>
      </c>
      <c r="Z95" t="e">
        <f>#REF!</f>
        <v>#REF!</v>
      </c>
      <c r="AA95" t="e">
        <f>#REF!</f>
        <v>#REF!</v>
      </c>
      <c r="AB95" t="e">
        <f>#REF!</f>
        <v>#REF!</v>
      </c>
      <c r="AC95" t="e">
        <f>#REF!</f>
        <v>#REF!</v>
      </c>
      <c r="AD95" t="e">
        <f>#REF!</f>
        <v>#REF!</v>
      </c>
      <c r="AE95" t="e">
        <f>#REF!</f>
        <v>#REF!</v>
      </c>
    </row>
    <row r="96" spans="1:31" x14ac:dyDescent="0.2">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c r="S96" t="e">
        <f>#REF!</f>
        <v>#REF!</v>
      </c>
      <c r="T96" t="e">
        <f>#REF!</f>
        <v>#REF!</v>
      </c>
      <c r="U96" t="e">
        <f>#REF!</f>
        <v>#REF!</v>
      </c>
      <c r="V96" t="e">
        <f>#REF!</f>
        <v>#REF!</v>
      </c>
      <c r="W96" t="e">
        <f>#REF!</f>
        <v>#REF!</v>
      </c>
      <c r="X96" t="e">
        <f>#REF!</f>
        <v>#REF!</v>
      </c>
      <c r="Y96" t="e">
        <f>#REF!</f>
        <v>#REF!</v>
      </c>
      <c r="Z96" t="e">
        <f>#REF!</f>
        <v>#REF!</v>
      </c>
      <c r="AA96" t="e">
        <f>#REF!</f>
        <v>#REF!</v>
      </c>
      <c r="AB96" t="e">
        <f>#REF!</f>
        <v>#REF!</v>
      </c>
      <c r="AC96" t="e">
        <f>#REF!</f>
        <v>#REF!</v>
      </c>
      <c r="AD96" t="e">
        <f>#REF!</f>
        <v>#REF!</v>
      </c>
      <c r="AE96" t="e">
        <f>#REF!</f>
        <v>#REF!</v>
      </c>
    </row>
    <row r="97" spans="1:31" x14ac:dyDescent="0.2">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c r="S97" t="e">
        <f>#REF!</f>
        <v>#REF!</v>
      </c>
      <c r="T97" t="e">
        <f>#REF!</f>
        <v>#REF!</v>
      </c>
      <c r="U97" t="e">
        <f>#REF!</f>
        <v>#REF!</v>
      </c>
      <c r="V97" t="e">
        <f>#REF!</f>
        <v>#REF!</v>
      </c>
      <c r="W97" t="e">
        <f>#REF!</f>
        <v>#REF!</v>
      </c>
      <c r="X97" t="e">
        <f>#REF!</f>
        <v>#REF!</v>
      </c>
      <c r="Y97" t="e">
        <f>#REF!</f>
        <v>#REF!</v>
      </c>
      <c r="Z97" t="e">
        <f>#REF!</f>
        <v>#REF!</v>
      </c>
      <c r="AA97" t="e">
        <f>#REF!</f>
        <v>#REF!</v>
      </c>
      <c r="AB97" t="e">
        <f>#REF!</f>
        <v>#REF!</v>
      </c>
      <c r="AC97" t="e">
        <f>#REF!</f>
        <v>#REF!</v>
      </c>
      <c r="AD97" t="e">
        <f>#REF!</f>
        <v>#REF!</v>
      </c>
      <c r="AE97" t="e">
        <f>#REF!</f>
        <v>#REF!</v>
      </c>
    </row>
    <row r="98" spans="1:31" x14ac:dyDescent="0.2">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c r="S98" t="e">
        <f>#REF!</f>
        <v>#REF!</v>
      </c>
      <c r="T98" t="e">
        <f>#REF!</f>
        <v>#REF!</v>
      </c>
      <c r="U98" t="e">
        <f>#REF!</f>
        <v>#REF!</v>
      </c>
      <c r="V98" t="e">
        <f>#REF!</f>
        <v>#REF!</v>
      </c>
      <c r="W98" t="e">
        <f>#REF!</f>
        <v>#REF!</v>
      </c>
      <c r="X98" t="e">
        <f>#REF!</f>
        <v>#REF!</v>
      </c>
      <c r="Y98" t="e">
        <f>#REF!</f>
        <v>#REF!</v>
      </c>
      <c r="Z98" t="e">
        <f>#REF!</f>
        <v>#REF!</v>
      </c>
      <c r="AA98" t="e">
        <f>#REF!</f>
        <v>#REF!</v>
      </c>
      <c r="AB98" t="e">
        <f>#REF!</f>
        <v>#REF!</v>
      </c>
      <c r="AC98" t="e">
        <f>#REF!</f>
        <v>#REF!</v>
      </c>
      <c r="AD98" t="e">
        <f>#REF!</f>
        <v>#REF!</v>
      </c>
      <c r="AE98" t="e">
        <f>#REF!</f>
        <v>#REF!</v>
      </c>
    </row>
    <row r="99" spans="1:31" x14ac:dyDescent="0.2">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c r="S99" t="e">
        <f>#REF!</f>
        <v>#REF!</v>
      </c>
      <c r="T99" t="e">
        <f>#REF!</f>
        <v>#REF!</v>
      </c>
      <c r="U99" t="e">
        <f>#REF!</f>
        <v>#REF!</v>
      </c>
      <c r="V99" t="e">
        <f>#REF!</f>
        <v>#REF!</v>
      </c>
      <c r="W99" t="e">
        <f>#REF!</f>
        <v>#REF!</v>
      </c>
      <c r="X99" t="e">
        <f>#REF!</f>
        <v>#REF!</v>
      </c>
      <c r="Y99" t="e">
        <f>#REF!</f>
        <v>#REF!</v>
      </c>
      <c r="Z99" t="e">
        <f>#REF!</f>
        <v>#REF!</v>
      </c>
      <c r="AA99" t="e">
        <f>#REF!</f>
        <v>#REF!</v>
      </c>
      <c r="AB99" t="e">
        <f>#REF!</f>
        <v>#REF!</v>
      </c>
      <c r="AC99" t="e">
        <f>#REF!</f>
        <v>#REF!</v>
      </c>
      <c r="AD99" t="e">
        <f>#REF!</f>
        <v>#REF!</v>
      </c>
      <c r="AE99" t="e">
        <f>#REF!</f>
        <v>#REF!</v>
      </c>
    </row>
    <row r="100" spans="1:31" x14ac:dyDescent="0.2">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c r="S100" t="e">
        <f>#REF!</f>
        <v>#REF!</v>
      </c>
      <c r="T100" t="e">
        <f>#REF!</f>
        <v>#REF!</v>
      </c>
      <c r="U100" t="e">
        <f>#REF!</f>
        <v>#REF!</v>
      </c>
      <c r="V100" t="e">
        <f>#REF!</f>
        <v>#REF!</v>
      </c>
      <c r="W100" t="e">
        <f>#REF!</f>
        <v>#REF!</v>
      </c>
      <c r="X100" t="e">
        <f>#REF!</f>
        <v>#REF!</v>
      </c>
      <c r="Y100" t="e">
        <f>#REF!</f>
        <v>#REF!</v>
      </c>
      <c r="Z100" t="e">
        <f>#REF!</f>
        <v>#REF!</v>
      </c>
      <c r="AA100" t="e">
        <f>#REF!</f>
        <v>#REF!</v>
      </c>
      <c r="AB100" t="e">
        <f>#REF!</f>
        <v>#REF!</v>
      </c>
      <c r="AC100" t="e">
        <f>#REF!</f>
        <v>#REF!</v>
      </c>
      <c r="AD100" t="e">
        <f>#REF!</f>
        <v>#REF!</v>
      </c>
      <c r="AE100" t="e">
        <f>#REF!</f>
        <v>#REF!</v>
      </c>
    </row>
    <row r="101" spans="1:31" x14ac:dyDescent="0.2">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c r="S101" t="e">
        <f>#REF!</f>
        <v>#REF!</v>
      </c>
      <c r="T101" t="e">
        <f>#REF!</f>
        <v>#REF!</v>
      </c>
      <c r="U101" t="e">
        <f>#REF!</f>
        <v>#REF!</v>
      </c>
      <c r="V101" t="e">
        <f>#REF!</f>
        <v>#REF!</v>
      </c>
      <c r="W101" t="e">
        <f>#REF!</f>
        <v>#REF!</v>
      </c>
      <c r="X101" t="e">
        <f>#REF!</f>
        <v>#REF!</v>
      </c>
      <c r="Y101" t="e">
        <f>#REF!</f>
        <v>#REF!</v>
      </c>
      <c r="Z101" t="e">
        <f>#REF!</f>
        <v>#REF!</v>
      </c>
      <c r="AA101" t="e">
        <f>#REF!</f>
        <v>#REF!</v>
      </c>
      <c r="AB101" t="e">
        <f>#REF!</f>
        <v>#REF!</v>
      </c>
      <c r="AC101" t="e">
        <f>#REF!</f>
        <v>#REF!</v>
      </c>
      <c r="AD101" t="e">
        <f>#REF!</f>
        <v>#REF!</v>
      </c>
      <c r="AE101" t="e">
        <f>#REF!</f>
        <v>#REF!</v>
      </c>
    </row>
    <row r="102" spans="1:31" x14ac:dyDescent="0.2">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c r="S102" t="e">
        <f>#REF!</f>
        <v>#REF!</v>
      </c>
      <c r="T102" t="e">
        <f>#REF!</f>
        <v>#REF!</v>
      </c>
      <c r="U102" t="e">
        <f>#REF!</f>
        <v>#REF!</v>
      </c>
      <c r="V102" t="e">
        <f>#REF!</f>
        <v>#REF!</v>
      </c>
      <c r="W102" t="e">
        <f>#REF!</f>
        <v>#REF!</v>
      </c>
      <c r="X102" t="e">
        <f>#REF!</f>
        <v>#REF!</v>
      </c>
      <c r="Y102" t="e">
        <f>#REF!</f>
        <v>#REF!</v>
      </c>
      <c r="Z102" t="e">
        <f>#REF!</f>
        <v>#REF!</v>
      </c>
      <c r="AA102" t="e">
        <f>#REF!</f>
        <v>#REF!</v>
      </c>
      <c r="AB102" t="e">
        <f>#REF!</f>
        <v>#REF!</v>
      </c>
      <c r="AC102" t="e">
        <f>#REF!</f>
        <v>#REF!</v>
      </c>
      <c r="AD102" t="e">
        <f>#REF!</f>
        <v>#REF!</v>
      </c>
      <c r="AE102" t="e">
        <f>#REF!</f>
        <v>#REF!</v>
      </c>
    </row>
    <row r="103" spans="1:31" x14ac:dyDescent="0.2">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c r="S103" t="e">
        <f>#REF!</f>
        <v>#REF!</v>
      </c>
      <c r="T103" t="e">
        <f>#REF!</f>
        <v>#REF!</v>
      </c>
      <c r="U103" t="e">
        <f>#REF!</f>
        <v>#REF!</v>
      </c>
      <c r="V103" t="e">
        <f>#REF!</f>
        <v>#REF!</v>
      </c>
      <c r="W103" t="e">
        <f>#REF!</f>
        <v>#REF!</v>
      </c>
      <c r="X103" t="e">
        <f>#REF!</f>
        <v>#REF!</v>
      </c>
      <c r="Y103" t="e">
        <f>#REF!</f>
        <v>#REF!</v>
      </c>
      <c r="Z103" t="e">
        <f>#REF!</f>
        <v>#REF!</v>
      </c>
      <c r="AA103" t="e">
        <f>#REF!</f>
        <v>#REF!</v>
      </c>
      <c r="AB103" t="e">
        <f>#REF!</f>
        <v>#REF!</v>
      </c>
      <c r="AC103" t="e">
        <f>#REF!</f>
        <v>#REF!</v>
      </c>
      <c r="AD103" t="e">
        <f>#REF!</f>
        <v>#REF!</v>
      </c>
      <c r="AE103" t="e">
        <f>#REF!</f>
        <v>#REF!</v>
      </c>
    </row>
    <row r="104" spans="1:31" x14ac:dyDescent="0.2">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row>
    <row r="105" spans="1:31" x14ac:dyDescent="0.2">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row>
    <row r="106" spans="1:31" x14ac:dyDescent="0.2">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row>
    <row r="107" spans="1:31" x14ac:dyDescent="0.2">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c r="S107" t="e">
        <f>#REF!</f>
        <v>#REF!</v>
      </c>
      <c r="T107" t="e">
        <f>#REF!</f>
        <v>#REF!</v>
      </c>
      <c r="U107" t="e">
        <f>#REF!</f>
        <v>#REF!</v>
      </c>
      <c r="V107" t="e">
        <f>#REF!</f>
        <v>#REF!</v>
      </c>
      <c r="W107" t="e">
        <f>#REF!</f>
        <v>#REF!</v>
      </c>
      <c r="X107" t="e">
        <f>#REF!</f>
        <v>#REF!</v>
      </c>
      <c r="Y107" t="e">
        <f>#REF!</f>
        <v>#REF!</v>
      </c>
      <c r="Z107" t="e">
        <f>#REF!</f>
        <v>#REF!</v>
      </c>
      <c r="AA107" t="e">
        <f>#REF!</f>
        <v>#REF!</v>
      </c>
      <c r="AB107" t="e">
        <f>#REF!</f>
        <v>#REF!</v>
      </c>
      <c r="AC107" t="e">
        <f>#REF!</f>
        <v>#REF!</v>
      </c>
      <c r="AD107" t="e">
        <f>#REF!</f>
        <v>#REF!</v>
      </c>
      <c r="AE107" t="e">
        <f>#REF!</f>
        <v>#REF!</v>
      </c>
    </row>
    <row r="108" spans="1:31" x14ac:dyDescent="0.2">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c r="S108" t="e">
        <f>#REF!</f>
        <v>#REF!</v>
      </c>
      <c r="T108" t="e">
        <f>#REF!</f>
        <v>#REF!</v>
      </c>
      <c r="U108" t="e">
        <f>#REF!</f>
        <v>#REF!</v>
      </c>
      <c r="V108" t="e">
        <f>#REF!</f>
        <v>#REF!</v>
      </c>
      <c r="W108" t="e">
        <f>#REF!</f>
        <v>#REF!</v>
      </c>
      <c r="X108" t="e">
        <f>#REF!</f>
        <v>#REF!</v>
      </c>
      <c r="Y108" t="e">
        <f>#REF!</f>
        <v>#REF!</v>
      </c>
      <c r="Z108" t="e">
        <f>#REF!</f>
        <v>#REF!</v>
      </c>
      <c r="AA108" t="e">
        <f>#REF!</f>
        <v>#REF!</v>
      </c>
      <c r="AB108" t="e">
        <f>#REF!</f>
        <v>#REF!</v>
      </c>
      <c r="AC108" t="e">
        <f>#REF!</f>
        <v>#REF!</v>
      </c>
      <c r="AD108" t="e">
        <f>#REF!</f>
        <v>#REF!</v>
      </c>
      <c r="AE108" t="e">
        <f>#REF!</f>
        <v>#REF!</v>
      </c>
    </row>
    <row r="109" spans="1:31" x14ac:dyDescent="0.2">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c r="S109" t="e">
        <f>#REF!</f>
        <v>#REF!</v>
      </c>
      <c r="T109" t="e">
        <f>#REF!</f>
        <v>#REF!</v>
      </c>
      <c r="U109" t="e">
        <f>#REF!</f>
        <v>#REF!</v>
      </c>
      <c r="V109" t="e">
        <f>#REF!</f>
        <v>#REF!</v>
      </c>
      <c r="W109" t="e">
        <f>#REF!</f>
        <v>#REF!</v>
      </c>
      <c r="X109" t="e">
        <f>#REF!</f>
        <v>#REF!</v>
      </c>
      <c r="Y109" t="e">
        <f>#REF!</f>
        <v>#REF!</v>
      </c>
      <c r="Z109" t="e">
        <f>#REF!</f>
        <v>#REF!</v>
      </c>
      <c r="AA109" t="e">
        <f>#REF!</f>
        <v>#REF!</v>
      </c>
      <c r="AB109" t="e">
        <f>#REF!</f>
        <v>#REF!</v>
      </c>
      <c r="AC109" t="e">
        <f>#REF!</f>
        <v>#REF!</v>
      </c>
      <c r="AD109" t="e">
        <f>#REF!</f>
        <v>#REF!</v>
      </c>
      <c r="AE109" t="e">
        <f>#REF!</f>
        <v>#REF!</v>
      </c>
    </row>
    <row r="110" spans="1:31" x14ac:dyDescent="0.2">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c r="S110" t="e">
        <f>#REF!</f>
        <v>#REF!</v>
      </c>
      <c r="T110" t="e">
        <f>#REF!</f>
        <v>#REF!</v>
      </c>
      <c r="U110" t="e">
        <f>#REF!</f>
        <v>#REF!</v>
      </c>
      <c r="V110" t="e">
        <f>#REF!</f>
        <v>#REF!</v>
      </c>
      <c r="W110" t="e">
        <f>#REF!</f>
        <v>#REF!</v>
      </c>
      <c r="X110" t="e">
        <f>#REF!</f>
        <v>#REF!</v>
      </c>
      <c r="Y110" t="e">
        <f>#REF!</f>
        <v>#REF!</v>
      </c>
      <c r="Z110" t="e">
        <f>#REF!</f>
        <v>#REF!</v>
      </c>
      <c r="AA110" t="e">
        <f>#REF!</f>
        <v>#REF!</v>
      </c>
      <c r="AB110" t="e">
        <f>#REF!</f>
        <v>#REF!</v>
      </c>
      <c r="AC110" t="e">
        <f>#REF!</f>
        <v>#REF!</v>
      </c>
      <c r="AD110" t="e">
        <f>#REF!</f>
        <v>#REF!</v>
      </c>
      <c r="AE110" t="e">
        <f>#REF!</f>
        <v>#REF!</v>
      </c>
    </row>
    <row r="111" spans="1:31" x14ac:dyDescent="0.2">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c r="S111" t="e">
        <f>#REF!</f>
        <v>#REF!</v>
      </c>
      <c r="T111" t="e">
        <f>#REF!</f>
        <v>#REF!</v>
      </c>
      <c r="U111" t="e">
        <f>#REF!</f>
        <v>#REF!</v>
      </c>
      <c r="V111" t="e">
        <f>#REF!</f>
        <v>#REF!</v>
      </c>
      <c r="W111" t="e">
        <f>#REF!</f>
        <v>#REF!</v>
      </c>
      <c r="X111" t="e">
        <f>#REF!</f>
        <v>#REF!</v>
      </c>
      <c r="Y111" t="e">
        <f>#REF!</f>
        <v>#REF!</v>
      </c>
      <c r="Z111" t="e">
        <f>#REF!</f>
        <v>#REF!</v>
      </c>
      <c r="AA111" t="e">
        <f>#REF!</f>
        <v>#REF!</v>
      </c>
      <c r="AB111" t="e">
        <f>#REF!</f>
        <v>#REF!</v>
      </c>
      <c r="AC111" t="e">
        <f>#REF!</f>
        <v>#REF!</v>
      </c>
      <c r="AD111" t="e">
        <f>#REF!</f>
        <v>#REF!</v>
      </c>
      <c r="AE111" t="e">
        <f>#REF!</f>
        <v>#REF!</v>
      </c>
    </row>
    <row r="112" spans="1:31" x14ac:dyDescent="0.2">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c r="S112" t="e">
        <f>#REF!</f>
        <v>#REF!</v>
      </c>
      <c r="T112" t="e">
        <f>#REF!</f>
        <v>#REF!</v>
      </c>
      <c r="U112" t="e">
        <f>#REF!</f>
        <v>#REF!</v>
      </c>
      <c r="V112" t="e">
        <f>#REF!</f>
        <v>#REF!</v>
      </c>
      <c r="W112" t="e">
        <f>#REF!</f>
        <v>#REF!</v>
      </c>
      <c r="X112" t="e">
        <f>#REF!</f>
        <v>#REF!</v>
      </c>
      <c r="Y112" t="e">
        <f>#REF!</f>
        <v>#REF!</v>
      </c>
      <c r="Z112" t="e">
        <f>#REF!</f>
        <v>#REF!</v>
      </c>
      <c r="AA112" t="e">
        <f>#REF!</f>
        <v>#REF!</v>
      </c>
      <c r="AB112" t="e">
        <f>#REF!</f>
        <v>#REF!</v>
      </c>
      <c r="AC112" t="e">
        <f>#REF!</f>
        <v>#REF!</v>
      </c>
      <c r="AD112" t="e">
        <f>#REF!</f>
        <v>#REF!</v>
      </c>
      <c r="AE112" t="e">
        <f>#REF!</f>
        <v>#REF!</v>
      </c>
    </row>
    <row r="113" spans="1:31" x14ac:dyDescent="0.2">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c r="S113" t="e">
        <f>#REF!</f>
        <v>#REF!</v>
      </c>
      <c r="T113" t="e">
        <f>#REF!</f>
        <v>#REF!</v>
      </c>
      <c r="U113" t="e">
        <f>#REF!</f>
        <v>#REF!</v>
      </c>
      <c r="V113" t="e">
        <f>#REF!</f>
        <v>#REF!</v>
      </c>
      <c r="W113" t="e">
        <f>#REF!</f>
        <v>#REF!</v>
      </c>
      <c r="X113" t="e">
        <f>#REF!</f>
        <v>#REF!</v>
      </c>
      <c r="Y113" t="e">
        <f>#REF!</f>
        <v>#REF!</v>
      </c>
      <c r="Z113" t="e">
        <f>#REF!</f>
        <v>#REF!</v>
      </c>
      <c r="AA113" t="e">
        <f>#REF!</f>
        <v>#REF!</v>
      </c>
      <c r="AB113" t="e">
        <f>#REF!</f>
        <v>#REF!</v>
      </c>
      <c r="AC113" t="e">
        <f>#REF!</f>
        <v>#REF!</v>
      </c>
      <c r="AD113" t="e">
        <f>#REF!</f>
        <v>#REF!</v>
      </c>
      <c r="AE113" t="e">
        <f>#REF!</f>
        <v>#REF!</v>
      </c>
    </row>
    <row r="114" spans="1:31" x14ac:dyDescent="0.2">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c r="S114" t="e">
        <f>#REF!</f>
        <v>#REF!</v>
      </c>
      <c r="T114" t="e">
        <f>#REF!</f>
        <v>#REF!</v>
      </c>
      <c r="U114" t="e">
        <f>#REF!</f>
        <v>#REF!</v>
      </c>
      <c r="V114" t="e">
        <f>#REF!</f>
        <v>#REF!</v>
      </c>
      <c r="W114" t="e">
        <f>#REF!</f>
        <v>#REF!</v>
      </c>
      <c r="X114" t="e">
        <f>#REF!</f>
        <v>#REF!</v>
      </c>
      <c r="Y114" t="e">
        <f>#REF!</f>
        <v>#REF!</v>
      </c>
      <c r="Z114" t="e">
        <f>#REF!</f>
        <v>#REF!</v>
      </c>
      <c r="AA114" t="e">
        <f>#REF!</f>
        <v>#REF!</v>
      </c>
      <c r="AB114" t="e">
        <f>#REF!</f>
        <v>#REF!</v>
      </c>
      <c r="AC114" t="e">
        <f>#REF!</f>
        <v>#REF!</v>
      </c>
      <c r="AD114" t="e">
        <f>#REF!</f>
        <v>#REF!</v>
      </c>
      <c r="AE114" t="e">
        <f>#REF!</f>
        <v>#REF!</v>
      </c>
    </row>
    <row r="115" spans="1:31" x14ac:dyDescent="0.2">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c r="S115" t="e">
        <f>#REF!</f>
        <v>#REF!</v>
      </c>
      <c r="T115" t="e">
        <f>#REF!</f>
        <v>#REF!</v>
      </c>
      <c r="U115" t="e">
        <f>#REF!</f>
        <v>#REF!</v>
      </c>
      <c r="V115" t="e">
        <f>#REF!</f>
        <v>#REF!</v>
      </c>
      <c r="W115" t="e">
        <f>#REF!</f>
        <v>#REF!</v>
      </c>
      <c r="X115" t="e">
        <f>#REF!</f>
        <v>#REF!</v>
      </c>
      <c r="Y115" t="e">
        <f>#REF!</f>
        <v>#REF!</v>
      </c>
      <c r="Z115" t="e">
        <f>#REF!</f>
        <v>#REF!</v>
      </c>
      <c r="AA115" t="e">
        <f>#REF!</f>
        <v>#REF!</v>
      </c>
      <c r="AB115" t="e">
        <f>#REF!</f>
        <v>#REF!</v>
      </c>
      <c r="AC115" t="e">
        <f>#REF!</f>
        <v>#REF!</v>
      </c>
      <c r="AD115" t="e">
        <f>#REF!</f>
        <v>#REF!</v>
      </c>
      <c r="AE115" t="e">
        <f>#REF!</f>
        <v>#REF!</v>
      </c>
    </row>
    <row r="116" spans="1:31" x14ac:dyDescent="0.2">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row>
    <row r="117" spans="1:31" x14ac:dyDescent="0.2">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row>
    <row r="118" spans="1:31" x14ac:dyDescent="0.2">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row>
    <row r="119" spans="1:31" x14ac:dyDescent="0.2">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c r="S119" t="e">
        <f>#REF!</f>
        <v>#REF!</v>
      </c>
      <c r="T119" t="e">
        <f>#REF!</f>
        <v>#REF!</v>
      </c>
      <c r="U119" t="e">
        <f>#REF!</f>
        <v>#REF!</v>
      </c>
      <c r="V119" t="e">
        <f>#REF!</f>
        <v>#REF!</v>
      </c>
      <c r="W119" t="e">
        <f>#REF!</f>
        <v>#REF!</v>
      </c>
      <c r="X119" t="e">
        <f>#REF!</f>
        <v>#REF!</v>
      </c>
      <c r="Y119" t="e">
        <f>#REF!</f>
        <v>#REF!</v>
      </c>
      <c r="Z119" t="e">
        <f>#REF!</f>
        <v>#REF!</v>
      </c>
      <c r="AA119" t="e">
        <f>#REF!</f>
        <v>#REF!</v>
      </c>
      <c r="AB119" t="e">
        <f>#REF!</f>
        <v>#REF!</v>
      </c>
      <c r="AC119" t="e">
        <f>#REF!</f>
        <v>#REF!</v>
      </c>
      <c r="AD119" t="e">
        <f>#REF!</f>
        <v>#REF!</v>
      </c>
      <c r="AE119" t="e">
        <f>#REF!</f>
        <v>#REF!</v>
      </c>
    </row>
    <row r="120" spans="1:31" x14ac:dyDescent="0.2">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c r="S120" t="e">
        <f>#REF!</f>
        <v>#REF!</v>
      </c>
      <c r="T120" t="e">
        <f>#REF!</f>
        <v>#REF!</v>
      </c>
      <c r="U120" t="e">
        <f>#REF!</f>
        <v>#REF!</v>
      </c>
      <c r="V120" t="e">
        <f>#REF!</f>
        <v>#REF!</v>
      </c>
      <c r="W120" t="e">
        <f>#REF!</f>
        <v>#REF!</v>
      </c>
      <c r="X120" t="e">
        <f>#REF!</f>
        <v>#REF!</v>
      </c>
      <c r="Y120" t="e">
        <f>#REF!</f>
        <v>#REF!</v>
      </c>
      <c r="Z120" t="e">
        <f>#REF!</f>
        <v>#REF!</v>
      </c>
      <c r="AA120" t="e">
        <f>#REF!</f>
        <v>#REF!</v>
      </c>
      <c r="AB120" t="e">
        <f>#REF!</f>
        <v>#REF!</v>
      </c>
      <c r="AC120" t="e">
        <f>#REF!</f>
        <v>#REF!</v>
      </c>
      <c r="AD120" t="e">
        <f>#REF!</f>
        <v>#REF!</v>
      </c>
      <c r="AE120" t="e">
        <f>#REF!</f>
        <v>#REF!</v>
      </c>
    </row>
    <row r="121" spans="1:31" x14ac:dyDescent="0.2">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c r="S121" t="e">
        <f>#REF!</f>
        <v>#REF!</v>
      </c>
      <c r="T121" t="e">
        <f>#REF!</f>
        <v>#REF!</v>
      </c>
      <c r="U121" t="e">
        <f>#REF!</f>
        <v>#REF!</v>
      </c>
      <c r="V121" t="e">
        <f>#REF!</f>
        <v>#REF!</v>
      </c>
      <c r="W121" t="e">
        <f>#REF!</f>
        <v>#REF!</v>
      </c>
      <c r="X121" t="e">
        <f>#REF!</f>
        <v>#REF!</v>
      </c>
      <c r="Y121" t="e">
        <f>#REF!</f>
        <v>#REF!</v>
      </c>
      <c r="Z121" t="e">
        <f>#REF!</f>
        <v>#REF!</v>
      </c>
      <c r="AA121" t="e">
        <f>#REF!</f>
        <v>#REF!</v>
      </c>
      <c r="AB121" t="e">
        <f>#REF!</f>
        <v>#REF!</v>
      </c>
      <c r="AC121" t="e">
        <f>#REF!</f>
        <v>#REF!</v>
      </c>
      <c r="AD121" t="e">
        <f>#REF!</f>
        <v>#REF!</v>
      </c>
      <c r="AE121" t="e">
        <f>#REF!</f>
        <v>#REF!</v>
      </c>
    </row>
    <row r="122" spans="1:31" x14ac:dyDescent="0.2">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c r="S122" t="e">
        <f>#REF!</f>
        <v>#REF!</v>
      </c>
      <c r="T122" t="e">
        <f>#REF!</f>
        <v>#REF!</v>
      </c>
      <c r="U122" t="e">
        <f>#REF!</f>
        <v>#REF!</v>
      </c>
      <c r="V122" t="e">
        <f>#REF!</f>
        <v>#REF!</v>
      </c>
      <c r="W122" t="e">
        <f>#REF!</f>
        <v>#REF!</v>
      </c>
      <c r="X122" t="e">
        <f>#REF!</f>
        <v>#REF!</v>
      </c>
      <c r="Y122" t="e">
        <f>#REF!</f>
        <v>#REF!</v>
      </c>
      <c r="Z122" t="e">
        <f>#REF!</f>
        <v>#REF!</v>
      </c>
      <c r="AA122" t="e">
        <f>#REF!</f>
        <v>#REF!</v>
      </c>
      <c r="AB122" t="e">
        <f>#REF!</f>
        <v>#REF!</v>
      </c>
      <c r="AC122" t="e">
        <f>#REF!</f>
        <v>#REF!</v>
      </c>
      <c r="AD122" t="e">
        <f>#REF!</f>
        <v>#REF!</v>
      </c>
      <c r="AE122" t="e">
        <f>#REF!</f>
        <v>#REF!</v>
      </c>
    </row>
    <row r="123" spans="1:31" x14ac:dyDescent="0.2">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c r="S123" t="e">
        <f>#REF!</f>
        <v>#REF!</v>
      </c>
      <c r="T123" t="e">
        <f>#REF!</f>
        <v>#REF!</v>
      </c>
      <c r="U123" t="e">
        <f>#REF!</f>
        <v>#REF!</v>
      </c>
      <c r="V123" t="e">
        <f>#REF!</f>
        <v>#REF!</v>
      </c>
      <c r="W123" t="e">
        <f>#REF!</f>
        <v>#REF!</v>
      </c>
      <c r="X123" t="e">
        <f>#REF!</f>
        <v>#REF!</v>
      </c>
      <c r="Y123" t="e">
        <f>#REF!</f>
        <v>#REF!</v>
      </c>
      <c r="Z123" t="e">
        <f>#REF!</f>
        <v>#REF!</v>
      </c>
      <c r="AA123" t="e">
        <f>#REF!</f>
        <v>#REF!</v>
      </c>
      <c r="AB123" t="e">
        <f>#REF!</f>
        <v>#REF!</v>
      </c>
      <c r="AC123" t="e">
        <f>#REF!</f>
        <v>#REF!</v>
      </c>
      <c r="AD123" t="e">
        <f>#REF!</f>
        <v>#REF!</v>
      </c>
      <c r="AE123" t="e">
        <f>#REF!</f>
        <v>#REF!</v>
      </c>
    </row>
    <row r="124" spans="1:31" x14ac:dyDescent="0.2">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c r="S124" t="e">
        <f>#REF!</f>
        <v>#REF!</v>
      </c>
      <c r="T124" t="e">
        <f>#REF!</f>
        <v>#REF!</v>
      </c>
      <c r="U124" t="e">
        <f>#REF!</f>
        <v>#REF!</v>
      </c>
      <c r="V124" t="e">
        <f>#REF!</f>
        <v>#REF!</v>
      </c>
      <c r="W124" t="e">
        <f>#REF!</f>
        <v>#REF!</v>
      </c>
      <c r="X124" t="e">
        <f>#REF!</f>
        <v>#REF!</v>
      </c>
      <c r="Y124" t="e">
        <f>#REF!</f>
        <v>#REF!</v>
      </c>
      <c r="Z124" t="e">
        <f>#REF!</f>
        <v>#REF!</v>
      </c>
      <c r="AA124" t="e">
        <f>#REF!</f>
        <v>#REF!</v>
      </c>
      <c r="AB124" t="e">
        <f>#REF!</f>
        <v>#REF!</v>
      </c>
      <c r="AC124" t="e">
        <f>#REF!</f>
        <v>#REF!</v>
      </c>
      <c r="AD124" t="e">
        <f>#REF!</f>
        <v>#REF!</v>
      </c>
      <c r="AE124" t="e">
        <f>#REF!</f>
        <v>#REF!</v>
      </c>
    </row>
    <row r="125" spans="1:31" x14ac:dyDescent="0.2">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c r="S125" t="e">
        <f>#REF!</f>
        <v>#REF!</v>
      </c>
      <c r="T125" t="e">
        <f>#REF!</f>
        <v>#REF!</v>
      </c>
      <c r="U125" t="e">
        <f>#REF!</f>
        <v>#REF!</v>
      </c>
      <c r="V125" t="e">
        <f>#REF!</f>
        <v>#REF!</v>
      </c>
      <c r="W125" t="e">
        <f>#REF!</f>
        <v>#REF!</v>
      </c>
      <c r="X125" t="e">
        <f>#REF!</f>
        <v>#REF!</v>
      </c>
      <c r="Y125" t="e">
        <f>#REF!</f>
        <v>#REF!</v>
      </c>
      <c r="Z125" t="e">
        <f>#REF!</f>
        <v>#REF!</v>
      </c>
      <c r="AA125" t="e">
        <f>#REF!</f>
        <v>#REF!</v>
      </c>
      <c r="AB125" t="e">
        <f>#REF!</f>
        <v>#REF!</v>
      </c>
      <c r="AC125" t="e">
        <f>#REF!</f>
        <v>#REF!</v>
      </c>
      <c r="AD125" t="e">
        <f>#REF!</f>
        <v>#REF!</v>
      </c>
      <c r="AE125" t="e">
        <f>#REF!</f>
        <v>#REF!</v>
      </c>
    </row>
    <row r="126" spans="1:31" x14ac:dyDescent="0.2">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c r="S126" t="e">
        <f>#REF!</f>
        <v>#REF!</v>
      </c>
      <c r="T126" t="e">
        <f>#REF!</f>
        <v>#REF!</v>
      </c>
      <c r="U126" t="e">
        <f>#REF!</f>
        <v>#REF!</v>
      </c>
      <c r="V126" t="e">
        <f>#REF!</f>
        <v>#REF!</v>
      </c>
      <c r="W126" t="e">
        <f>#REF!</f>
        <v>#REF!</v>
      </c>
      <c r="X126" t="e">
        <f>#REF!</f>
        <v>#REF!</v>
      </c>
      <c r="Y126" t="e">
        <f>#REF!</f>
        <v>#REF!</v>
      </c>
      <c r="Z126" t="e">
        <f>#REF!</f>
        <v>#REF!</v>
      </c>
      <c r="AA126" t="e">
        <f>#REF!</f>
        <v>#REF!</v>
      </c>
      <c r="AB126" t="e">
        <f>#REF!</f>
        <v>#REF!</v>
      </c>
      <c r="AC126" t="e">
        <f>#REF!</f>
        <v>#REF!</v>
      </c>
      <c r="AD126" t="e">
        <f>#REF!</f>
        <v>#REF!</v>
      </c>
      <c r="AE126" t="e">
        <f>#REF!</f>
        <v>#REF!</v>
      </c>
    </row>
    <row r="127" spans="1:31" x14ac:dyDescent="0.2">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c r="S127" t="e">
        <f>#REF!</f>
        <v>#REF!</v>
      </c>
      <c r="T127" t="e">
        <f>#REF!</f>
        <v>#REF!</v>
      </c>
      <c r="U127" t="e">
        <f>#REF!</f>
        <v>#REF!</v>
      </c>
      <c r="V127" t="e">
        <f>#REF!</f>
        <v>#REF!</v>
      </c>
      <c r="W127" t="e">
        <f>#REF!</f>
        <v>#REF!</v>
      </c>
      <c r="X127" t="e">
        <f>#REF!</f>
        <v>#REF!</v>
      </c>
      <c r="Y127" t="e">
        <f>#REF!</f>
        <v>#REF!</v>
      </c>
      <c r="Z127" t="e">
        <f>#REF!</f>
        <v>#REF!</v>
      </c>
      <c r="AA127" t="e">
        <f>#REF!</f>
        <v>#REF!</v>
      </c>
      <c r="AB127" t="e">
        <f>#REF!</f>
        <v>#REF!</v>
      </c>
      <c r="AC127" t="e">
        <f>#REF!</f>
        <v>#REF!</v>
      </c>
      <c r="AD127" t="e">
        <f>#REF!</f>
        <v>#REF!</v>
      </c>
      <c r="AE127" t="e">
        <f>#REF!</f>
        <v>#REF!</v>
      </c>
    </row>
    <row r="128" spans="1:31" x14ac:dyDescent="0.2">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c r="S128" t="e">
        <f>#REF!</f>
        <v>#REF!</v>
      </c>
      <c r="T128" t="e">
        <f>#REF!</f>
        <v>#REF!</v>
      </c>
      <c r="U128" t="e">
        <f>#REF!</f>
        <v>#REF!</v>
      </c>
      <c r="V128" t="e">
        <f>#REF!</f>
        <v>#REF!</v>
      </c>
      <c r="W128" t="e">
        <f>#REF!</f>
        <v>#REF!</v>
      </c>
      <c r="X128" t="e">
        <f>#REF!</f>
        <v>#REF!</v>
      </c>
      <c r="Y128" t="e">
        <f>#REF!</f>
        <v>#REF!</v>
      </c>
      <c r="Z128" t="e">
        <f>#REF!</f>
        <v>#REF!</v>
      </c>
      <c r="AA128" t="e">
        <f>#REF!</f>
        <v>#REF!</v>
      </c>
      <c r="AB128" t="e">
        <f>#REF!</f>
        <v>#REF!</v>
      </c>
      <c r="AC128" t="e">
        <f>#REF!</f>
        <v>#REF!</v>
      </c>
      <c r="AD128" t="e">
        <f>#REF!</f>
        <v>#REF!</v>
      </c>
      <c r="AE128" t="e">
        <f>#REF!</f>
        <v>#REF!</v>
      </c>
    </row>
    <row r="129" spans="1:31" x14ac:dyDescent="0.2">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c r="S129" t="e">
        <f>#REF!</f>
        <v>#REF!</v>
      </c>
      <c r="T129" t="e">
        <f>#REF!</f>
        <v>#REF!</v>
      </c>
      <c r="U129" t="e">
        <f>#REF!</f>
        <v>#REF!</v>
      </c>
      <c r="V129" t="e">
        <f>#REF!</f>
        <v>#REF!</v>
      </c>
      <c r="W129" t="e">
        <f>#REF!</f>
        <v>#REF!</v>
      </c>
      <c r="X129" t="e">
        <f>#REF!</f>
        <v>#REF!</v>
      </c>
      <c r="Y129" t="e">
        <f>#REF!</f>
        <v>#REF!</v>
      </c>
      <c r="Z129" t="e">
        <f>#REF!</f>
        <v>#REF!</v>
      </c>
      <c r="AA129" t="e">
        <f>#REF!</f>
        <v>#REF!</v>
      </c>
      <c r="AB129" t="e">
        <f>#REF!</f>
        <v>#REF!</v>
      </c>
      <c r="AC129" t="e">
        <f>#REF!</f>
        <v>#REF!</v>
      </c>
      <c r="AD129" t="e">
        <f>#REF!</f>
        <v>#REF!</v>
      </c>
      <c r="AE129" t="e">
        <f>#REF!</f>
        <v>#REF!</v>
      </c>
    </row>
    <row r="130" spans="1:31" x14ac:dyDescent="0.2">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c r="S130" t="e">
        <f>#REF!</f>
        <v>#REF!</v>
      </c>
      <c r="T130" t="e">
        <f>#REF!</f>
        <v>#REF!</v>
      </c>
      <c r="U130" t="e">
        <f>#REF!</f>
        <v>#REF!</v>
      </c>
      <c r="V130" t="e">
        <f>#REF!</f>
        <v>#REF!</v>
      </c>
      <c r="W130" t="e">
        <f>#REF!</f>
        <v>#REF!</v>
      </c>
      <c r="X130" t="e">
        <f>#REF!</f>
        <v>#REF!</v>
      </c>
      <c r="Y130" t="e">
        <f>#REF!</f>
        <v>#REF!</v>
      </c>
      <c r="Z130" t="e">
        <f>#REF!</f>
        <v>#REF!</v>
      </c>
      <c r="AA130" t="e">
        <f>#REF!</f>
        <v>#REF!</v>
      </c>
      <c r="AB130" t="e">
        <f>#REF!</f>
        <v>#REF!</v>
      </c>
      <c r="AC130" t="e">
        <f>#REF!</f>
        <v>#REF!</v>
      </c>
      <c r="AD130" t="e">
        <f>#REF!</f>
        <v>#REF!</v>
      </c>
      <c r="AE130" t="e">
        <f>#REF!</f>
        <v>#REF!</v>
      </c>
    </row>
    <row r="131" spans="1:31" x14ac:dyDescent="0.2">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c r="S131" t="e">
        <f>#REF!</f>
        <v>#REF!</v>
      </c>
      <c r="T131" t="e">
        <f>#REF!</f>
        <v>#REF!</v>
      </c>
      <c r="U131" t="e">
        <f>#REF!</f>
        <v>#REF!</v>
      </c>
      <c r="V131" t="e">
        <f>#REF!</f>
        <v>#REF!</v>
      </c>
      <c r="W131" t="e">
        <f>#REF!</f>
        <v>#REF!</v>
      </c>
      <c r="X131" t="e">
        <f>#REF!</f>
        <v>#REF!</v>
      </c>
      <c r="Y131" t="e">
        <f>#REF!</f>
        <v>#REF!</v>
      </c>
      <c r="Z131" t="e">
        <f>#REF!</f>
        <v>#REF!</v>
      </c>
      <c r="AA131" t="e">
        <f>#REF!</f>
        <v>#REF!</v>
      </c>
      <c r="AB131" t="e">
        <f>#REF!</f>
        <v>#REF!</v>
      </c>
      <c r="AC131" t="e">
        <f>#REF!</f>
        <v>#REF!</v>
      </c>
      <c r="AD131" t="e">
        <f>#REF!</f>
        <v>#REF!</v>
      </c>
      <c r="AE131" t="e">
        <f>#REF!</f>
        <v>#REF!</v>
      </c>
    </row>
    <row r="132" spans="1:31" x14ac:dyDescent="0.2">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c r="S132" t="e">
        <f>#REF!</f>
        <v>#REF!</v>
      </c>
      <c r="T132" t="e">
        <f>#REF!</f>
        <v>#REF!</v>
      </c>
      <c r="U132" t="e">
        <f>#REF!</f>
        <v>#REF!</v>
      </c>
      <c r="V132" t="e">
        <f>#REF!</f>
        <v>#REF!</v>
      </c>
      <c r="W132" t="e">
        <f>#REF!</f>
        <v>#REF!</v>
      </c>
      <c r="X132" t="e">
        <f>#REF!</f>
        <v>#REF!</v>
      </c>
      <c r="Y132" t="e">
        <f>#REF!</f>
        <v>#REF!</v>
      </c>
      <c r="Z132" t="e">
        <f>#REF!</f>
        <v>#REF!</v>
      </c>
      <c r="AA132" t="e">
        <f>#REF!</f>
        <v>#REF!</v>
      </c>
      <c r="AB132" t="e">
        <f>#REF!</f>
        <v>#REF!</v>
      </c>
      <c r="AC132" t="e">
        <f>#REF!</f>
        <v>#REF!</v>
      </c>
      <c r="AD132" t="e">
        <f>#REF!</f>
        <v>#REF!</v>
      </c>
      <c r="AE132" t="e">
        <f>#REF!</f>
        <v>#REF!</v>
      </c>
    </row>
    <row r="133" spans="1:31" x14ac:dyDescent="0.2">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c r="S133" t="e">
        <f>#REF!</f>
        <v>#REF!</v>
      </c>
      <c r="T133" t="e">
        <f>#REF!</f>
        <v>#REF!</v>
      </c>
      <c r="U133" t="e">
        <f>#REF!</f>
        <v>#REF!</v>
      </c>
      <c r="V133" t="e">
        <f>#REF!</f>
        <v>#REF!</v>
      </c>
      <c r="W133" t="e">
        <f>#REF!</f>
        <v>#REF!</v>
      </c>
      <c r="X133" t="e">
        <f>#REF!</f>
        <v>#REF!</v>
      </c>
      <c r="Y133" t="e">
        <f>#REF!</f>
        <v>#REF!</v>
      </c>
      <c r="Z133" t="e">
        <f>#REF!</f>
        <v>#REF!</v>
      </c>
      <c r="AA133" t="e">
        <f>#REF!</f>
        <v>#REF!</v>
      </c>
      <c r="AB133" t="e">
        <f>#REF!</f>
        <v>#REF!</v>
      </c>
      <c r="AC133" t="e">
        <f>#REF!</f>
        <v>#REF!</v>
      </c>
      <c r="AD133" t="e">
        <f>#REF!</f>
        <v>#REF!</v>
      </c>
      <c r="AE133" t="e">
        <f>#REF!</f>
        <v>#REF!</v>
      </c>
    </row>
    <row r="134" spans="1:31" x14ac:dyDescent="0.2">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c r="S134" t="e">
        <f>#REF!</f>
        <v>#REF!</v>
      </c>
      <c r="T134" t="e">
        <f>#REF!</f>
        <v>#REF!</v>
      </c>
      <c r="U134" t="e">
        <f>#REF!</f>
        <v>#REF!</v>
      </c>
      <c r="V134" t="e">
        <f>#REF!</f>
        <v>#REF!</v>
      </c>
      <c r="W134" t="e">
        <f>#REF!</f>
        <v>#REF!</v>
      </c>
      <c r="X134" t="e">
        <f>#REF!</f>
        <v>#REF!</v>
      </c>
      <c r="Y134" t="e">
        <f>#REF!</f>
        <v>#REF!</v>
      </c>
      <c r="Z134" t="e">
        <f>#REF!</f>
        <v>#REF!</v>
      </c>
      <c r="AA134" t="e">
        <f>#REF!</f>
        <v>#REF!</v>
      </c>
      <c r="AB134" t="e">
        <f>#REF!</f>
        <v>#REF!</v>
      </c>
      <c r="AC134" t="e">
        <f>#REF!</f>
        <v>#REF!</v>
      </c>
      <c r="AD134" t="e">
        <f>#REF!</f>
        <v>#REF!</v>
      </c>
      <c r="AE134" t="e">
        <f>#REF!</f>
        <v>#REF!</v>
      </c>
    </row>
    <row r="135" spans="1:31" x14ac:dyDescent="0.2">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c r="S135" t="e">
        <f>#REF!</f>
        <v>#REF!</v>
      </c>
      <c r="T135" t="e">
        <f>#REF!</f>
        <v>#REF!</v>
      </c>
      <c r="U135" t="e">
        <f>#REF!</f>
        <v>#REF!</v>
      </c>
      <c r="V135" t="e">
        <f>#REF!</f>
        <v>#REF!</v>
      </c>
      <c r="W135" t="e">
        <f>#REF!</f>
        <v>#REF!</v>
      </c>
      <c r="X135" t="e">
        <f>#REF!</f>
        <v>#REF!</v>
      </c>
      <c r="Y135" t="e">
        <f>#REF!</f>
        <v>#REF!</v>
      </c>
      <c r="Z135" t="e">
        <f>#REF!</f>
        <v>#REF!</v>
      </c>
      <c r="AA135" t="e">
        <f>#REF!</f>
        <v>#REF!</v>
      </c>
      <c r="AB135" t="e">
        <f>#REF!</f>
        <v>#REF!</v>
      </c>
      <c r="AC135" t="e">
        <f>#REF!</f>
        <v>#REF!</v>
      </c>
      <c r="AD135" t="e">
        <f>#REF!</f>
        <v>#REF!</v>
      </c>
      <c r="AE135" t="e">
        <f>#REF!</f>
        <v>#REF!</v>
      </c>
    </row>
    <row r="136" spans="1:31" x14ac:dyDescent="0.2">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c r="S136" t="e">
        <f>#REF!</f>
        <v>#REF!</v>
      </c>
      <c r="T136" t="e">
        <f>#REF!</f>
        <v>#REF!</v>
      </c>
      <c r="U136" t="e">
        <f>#REF!</f>
        <v>#REF!</v>
      </c>
      <c r="V136" t="e">
        <f>#REF!</f>
        <v>#REF!</v>
      </c>
      <c r="W136" t="e">
        <f>#REF!</f>
        <v>#REF!</v>
      </c>
      <c r="X136" t="e">
        <f>#REF!</f>
        <v>#REF!</v>
      </c>
      <c r="Y136" t="e">
        <f>#REF!</f>
        <v>#REF!</v>
      </c>
      <c r="Z136" t="e">
        <f>#REF!</f>
        <v>#REF!</v>
      </c>
      <c r="AA136" t="e">
        <f>#REF!</f>
        <v>#REF!</v>
      </c>
      <c r="AB136" t="e">
        <f>#REF!</f>
        <v>#REF!</v>
      </c>
      <c r="AC136" t="e">
        <f>#REF!</f>
        <v>#REF!</v>
      </c>
      <c r="AD136" t="e">
        <f>#REF!</f>
        <v>#REF!</v>
      </c>
      <c r="AE136" t="e">
        <f>#REF!</f>
        <v>#REF!</v>
      </c>
    </row>
    <row r="137" spans="1:31" x14ac:dyDescent="0.2">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c r="S137" t="e">
        <f>#REF!</f>
        <v>#REF!</v>
      </c>
      <c r="T137" t="e">
        <f>#REF!</f>
        <v>#REF!</v>
      </c>
      <c r="U137" t="e">
        <f>#REF!</f>
        <v>#REF!</v>
      </c>
      <c r="V137" t="e">
        <f>#REF!</f>
        <v>#REF!</v>
      </c>
      <c r="W137" t="e">
        <f>#REF!</f>
        <v>#REF!</v>
      </c>
      <c r="X137" t="e">
        <f>#REF!</f>
        <v>#REF!</v>
      </c>
      <c r="Y137" t="e">
        <f>#REF!</f>
        <v>#REF!</v>
      </c>
      <c r="Z137" t="e">
        <f>#REF!</f>
        <v>#REF!</v>
      </c>
      <c r="AA137" t="e">
        <f>#REF!</f>
        <v>#REF!</v>
      </c>
      <c r="AB137" t="e">
        <f>#REF!</f>
        <v>#REF!</v>
      </c>
      <c r="AC137" t="e">
        <f>#REF!</f>
        <v>#REF!</v>
      </c>
      <c r="AD137" t="e">
        <f>#REF!</f>
        <v>#REF!</v>
      </c>
      <c r="AE137" t="e">
        <f>#REF!</f>
        <v>#REF!</v>
      </c>
    </row>
    <row r="138" spans="1:31" x14ac:dyDescent="0.2">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c r="S138" t="e">
        <f>#REF!</f>
        <v>#REF!</v>
      </c>
      <c r="T138" t="e">
        <f>#REF!</f>
        <v>#REF!</v>
      </c>
      <c r="U138" t="e">
        <f>#REF!</f>
        <v>#REF!</v>
      </c>
      <c r="V138" t="e">
        <f>#REF!</f>
        <v>#REF!</v>
      </c>
      <c r="W138" t="e">
        <f>#REF!</f>
        <v>#REF!</v>
      </c>
      <c r="X138" t="e">
        <f>#REF!</f>
        <v>#REF!</v>
      </c>
      <c r="Y138" t="e">
        <f>#REF!</f>
        <v>#REF!</v>
      </c>
      <c r="Z138" t="e">
        <f>#REF!</f>
        <v>#REF!</v>
      </c>
      <c r="AA138" t="e">
        <f>#REF!</f>
        <v>#REF!</v>
      </c>
      <c r="AB138" t="e">
        <f>#REF!</f>
        <v>#REF!</v>
      </c>
      <c r="AC138" t="e">
        <f>#REF!</f>
        <v>#REF!</v>
      </c>
      <c r="AD138" t="e">
        <f>#REF!</f>
        <v>#REF!</v>
      </c>
      <c r="AE138" t="e">
        <f>#REF!</f>
        <v>#REF!</v>
      </c>
    </row>
    <row r="139" spans="1:31" x14ac:dyDescent="0.2">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c r="S139" t="e">
        <f>#REF!</f>
        <v>#REF!</v>
      </c>
      <c r="T139" t="e">
        <f>#REF!</f>
        <v>#REF!</v>
      </c>
      <c r="U139" t="e">
        <f>#REF!</f>
        <v>#REF!</v>
      </c>
      <c r="V139" t="e">
        <f>#REF!</f>
        <v>#REF!</v>
      </c>
      <c r="W139" t="e">
        <f>#REF!</f>
        <v>#REF!</v>
      </c>
      <c r="X139" t="e">
        <f>#REF!</f>
        <v>#REF!</v>
      </c>
      <c r="Y139" t="e">
        <f>#REF!</f>
        <v>#REF!</v>
      </c>
      <c r="Z139" t="e">
        <f>#REF!</f>
        <v>#REF!</v>
      </c>
      <c r="AA139" t="e">
        <f>#REF!</f>
        <v>#REF!</v>
      </c>
      <c r="AB139" t="e">
        <f>#REF!</f>
        <v>#REF!</v>
      </c>
      <c r="AC139" t="e">
        <f>#REF!</f>
        <v>#REF!</v>
      </c>
      <c r="AD139" t="e">
        <f>#REF!</f>
        <v>#REF!</v>
      </c>
      <c r="AE139" t="e">
        <f>#REF!</f>
        <v>#REF!</v>
      </c>
    </row>
    <row r="140" spans="1:31" x14ac:dyDescent="0.2">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c r="S140" t="e">
        <f>#REF!</f>
        <v>#REF!</v>
      </c>
      <c r="T140" t="e">
        <f>#REF!</f>
        <v>#REF!</v>
      </c>
      <c r="U140" t="e">
        <f>#REF!</f>
        <v>#REF!</v>
      </c>
      <c r="V140" t="e">
        <f>#REF!</f>
        <v>#REF!</v>
      </c>
      <c r="W140" t="e">
        <f>#REF!</f>
        <v>#REF!</v>
      </c>
      <c r="X140" t="e">
        <f>#REF!</f>
        <v>#REF!</v>
      </c>
      <c r="Y140" t="e">
        <f>#REF!</f>
        <v>#REF!</v>
      </c>
      <c r="Z140" t="e">
        <f>#REF!</f>
        <v>#REF!</v>
      </c>
      <c r="AA140" t="e">
        <f>#REF!</f>
        <v>#REF!</v>
      </c>
      <c r="AB140" t="e">
        <f>#REF!</f>
        <v>#REF!</v>
      </c>
      <c r="AC140" t="e">
        <f>#REF!</f>
        <v>#REF!</v>
      </c>
      <c r="AD140" t="e">
        <f>#REF!</f>
        <v>#REF!</v>
      </c>
      <c r="AE140" t="e">
        <f>#REF!</f>
        <v>#REF!</v>
      </c>
    </row>
    <row r="141" spans="1:31" x14ac:dyDescent="0.2">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c r="S141" t="e">
        <f>#REF!</f>
        <v>#REF!</v>
      </c>
      <c r="T141" t="e">
        <f>#REF!</f>
        <v>#REF!</v>
      </c>
      <c r="U141" t="e">
        <f>#REF!</f>
        <v>#REF!</v>
      </c>
      <c r="V141" t="e">
        <f>#REF!</f>
        <v>#REF!</v>
      </c>
      <c r="W141" t="e">
        <f>#REF!</f>
        <v>#REF!</v>
      </c>
      <c r="X141" t="e">
        <f>#REF!</f>
        <v>#REF!</v>
      </c>
      <c r="Y141" t="e">
        <f>#REF!</f>
        <v>#REF!</v>
      </c>
      <c r="Z141" t="e">
        <f>#REF!</f>
        <v>#REF!</v>
      </c>
      <c r="AA141" t="e">
        <f>#REF!</f>
        <v>#REF!</v>
      </c>
      <c r="AB141" t="e">
        <f>#REF!</f>
        <v>#REF!</v>
      </c>
      <c r="AC141" t="e">
        <f>#REF!</f>
        <v>#REF!</v>
      </c>
      <c r="AD141" t="e">
        <f>#REF!</f>
        <v>#REF!</v>
      </c>
      <c r="AE141" t="e">
        <f>#REF!</f>
        <v>#REF!</v>
      </c>
    </row>
    <row r="142" spans="1:31" x14ac:dyDescent="0.2">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c r="S142" t="e">
        <f>#REF!</f>
        <v>#REF!</v>
      </c>
      <c r="T142" t="e">
        <f>#REF!</f>
        <v>#REF!</v>
      </c>
      <c r="U142" t="e">
        <f>#REF!</f>
        <v>#REF!</v>
      </c>
      <c r="V142" t="e">
        <f>#REF!</f>
        <v>#REF!</v>
      </c>
      <c r="W142" t="e">
        <f>#REF!</f>
        <v>#REF!</v>
      </c>
      <c r="X142" t="e">
        <f>#REF!</f>
        <v>#REF!</v>
      </c>
      <c r="Y142" t="e">
        <f>#REF!</f>
        <v>#REF!</v>
      </c>
      <c r="Z142" t="e">
        <f>#REF!</f>
        <v>#REF!</v>
      </c>
      <c r="AA142" t="e">
        <f>#REF!</f>
        <v>#REF!</v>
      </c>
      <c r="AB142" t="e">
        <f>#REF!</f>
        <v>#REF!</v>
      </c>
      <c r="AC142" t="e">
        <f>#REF!</f>
        <v>#REF!</v>
      </c>
      <c r="AD142" t="e">
        <f>#REF!</f>
        <v>#REF!</v>
      </c>
      <c r="AE142" t="e">
        <f>#REF!</f>
        <v>#REF!</v>
      </c>
    </row>
    <row r="143" spans="1:31" x14ac:dyDescent="0.2">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c r="S143" t="e">
        <f>#REF!</f>
        <v>#REF!</v>
      </c>
      <c r="T143" t="e">
        <f>#REF!</f>
        <v>#REF!</v>
      </c>
      <c r="U143" t="e">
        <f>#REF!</f>
        <v>#REF!</v>
      </c>
      <c r="V143" t="e">
        <f>#REF!</f>
        <v>#REF!</v>
      </c>
      <c r="W143" t="e">
        <f>#REF!</f>
        <v>#REF!</v>
      </c>
      <c r="X143" t="e">
        <f>#REF!</f>
        <v>#REF!</v>
      </c>
      <c r="Y143" t="e">
        <f>#REF!</f>
        <v>#REF!</v>
      </c>
      <c r="Z143" t="e">
        <f>#REF!</f>
        <v>#REF!</v>
      </c>
      <c r="AA143" t="e">
        <f>#REF!</f>
        <v>#REF!</v>
      </c>
      <c r="AB143" t="e">
        <f>#REF!</f>
        <v>#REF!</v>
      </c>
      <c r="AC143" t="e">
        <f>#REF!</f>
        <v>#REF!</v>
      </c>
      <c r="AD143" t="e">
        <f>#REF!</f>
        <v>#REF!</v>
      </c>
      <c r="AE143" t="e">
        <f>#REF!</f>
        <v>#REF!</v>
      </c>
    </row>
    <row r="144" spans="1:31" x14ac:dyDescent="0.2">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c r="S144" t="e">
        <f>#REF!</f>
        <v>#REF!</v>
      </c>
      <c r="T144" t="e">
        <f>#REF!</f>
        <v>#REF!</v>
      </c>
      <c r="U144" t="e">
        <f>#REF!</f>
        <v>#REF!</v>
      </c>
      <c r="V144" t="e">
        <f>#REF!</f>
        <v>#REF!</v>
      </c>
      <c r="W144" t="e">
        <f>#REF!</f>
        <v>#REF!</v>
      </c>
      <c r="X144" t="e">
        <f>#REF!</f>
        <v>#REF!</v>
      </c>
      <c r="Y144" t="e">
        <f>#REF!</f>
        <v>#REF!</v>
      </c>
      <c r="Z144" t="e">
        <f>#REF!</f>
        <v>#REF!</v>
      </c>
      <c r="AA144" t="e">
        <f>#REF!</f>
        <v>#REF!</v>
      </c>
      <c r="AB144" t="e">
        <f>#REF!</f>
        <v>#REF!</v>
      </c>
      <c r="AC144" t="e">
        <f>#REF!</f>
        <v>#REF!</v>
      </c>
      <c r="AD144" t="e">
        <f>#REF!</f>
        <v>#REF!</v>
      </c>
      <c r="AE144" t="e">
        <f>#REF!</f>
        <v>#REF!</v>
      </c>
    </row>
    <row r="145" spans="1:31" x14ac:dyDescent="0.2">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c r="S145" t="e">
        <f>#REF!</f>
        <v>#REF!</v>
      </c>
      <c r="T145" t="e">
        <f>#REF!</f>
        <v>#REF!</v>
      </c>
      <c r="U145" t="e">
        <f>#REF!</f>
        <v>#REF!</v>
      </c>
      <c r="V145" t="e">
        <f>#REF!</f>
        <v>#REF!</v>
      </c>
      <c r="W145" t="e">
        <f>#REF!</f>
        <v>#REF!</v>
      </c>
      <c r="X145" t="e">
        <f>#REF!</f>
        <v>#REF!</v>
      </c>
      <c r="Y145" t="e">
        <f>#REF!</f>
        <v>#REF!</v>
      </c>
      <c r="Z145" t="e">
        <f>#REF!</f>
        <v>#REF!</v>
      </c>
      <c r="AA145" t="e">
        <f>#REF!</f>
        <v>#REF!</v>
      </c>
      <c r="AB145" t="e">
        <f>#REF!</f>
        <v>#REF!</v>
      </c>
      <c r="AC145" t="e">
        <f>#REF!</f>
        <v>#REF!</v>
      </c>
      <c r="AD145" t="e">
        <f>#REF!</f>
        <v>#REF!</v>
      </c>
      <c r="AE145" t="e">
        <f>#REF!</f>
        <v>#REF!</v>
      </c>
    </row>
    <row r="146" spans="1:31" x14ac:dyDescent="0.2">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c r="S146" t="e">
        <f>#REF!</f>
        <v>#REF!</v>
      </c>
      <c r="T146" t="e">
        <f>#REF!</f>
        <v>#REF!</v>
      </c>
      <c r="U146" t="e">
        <f>#REF!</f>
        <v>#REF!</v>
      </c>
      <c r="V146" t="e">
        <f>#REF!</f>
        <v>#REF!</v>
      </c>
      <c r="W146" t="e">
        <f>#REF!</f>
        <v>#REF!</v>
      </c>
      <c r="X146" t="e">
        <f>#REF!</f>
        <v>#REF!</v>
      </c>
      <c r="Y146" t="e">
        <f>#REF!</f>
        <v>#REF!</v>
      </c>
      <c r="Z146" t="e">
        <f>#REF!</f>
        <v>#REF!</v>
      </c>
      <c r="AA146" t="e">
        <f>#REF!</f>
        <v>#REF!</v>
      </c>
      <c r="AB146" t="e">
        <f>#REF!</f>
        <v>#REF!</v>
      </c>
      <c r="AC146" t="e">
        <f>#REF!</f>
        <v>#REF!</v>
      </c>
      <c r="AD146" t="e">
        <f>#REF!</f>
        <v>#REF!</v>
      </c>
      <c r="AE146" t="e">
        <f>#REF!</f>
        <v>#REF!</v>
      </c>
    </row>
    <row r="147" spans="1:31" x14ac:dyDescent="0.2">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c r="S147" t="e">
        <f>#REF!</f>
        <v>#REF!</v>
      </c>
      <c r="T147" t="e">
        <f>#REF!</f>
        <v>#REF!</v>
      </c>
      <c r="U147" t="e">
        <f>#REF!</f>
        <v>#REF!</v>
      </c>
      <c r="V147" t="e">
        <f>#REF!</f>
        <v>#REF!</v>
      </c>
      <c r="W147" t="e">
        <f>#REF!</f>
        <v>#REF!</v>
      </c>
      <c r="X147" t="e">
        <f>#REF!</f>
        <v>#REF!</v>
      </c>
      <c r="Y147" t="e">
        <f>#REF!</f>
        <v>#REF!</v>
      </c>
      <c r="Z147" t="e">
        <f>#REF!</f>
        <v>#REF!</v>
      </c>
      <c r="AA147" t="e">
        <f>#REF!</f>
        <v>#REF!</v>
      </c>
      <c r="AB147" t="e">
        <f>#REF!</f>
        <v>#REF!</v>
      </c>
      <c r="AC147" t="e">
        <f>#REF!</f>
        <v>#REF!</v>
      </c>
      <c r="AD147" t="e">
        <f>#REF!</f>
        <v>#REF!</v>
      </c>
      <c r="AE147" t="e">
        <f>#REF!</f>
        <v>#REF!</v>
      </c>
    </row>
    <row r="148" spans="1:31" x14ac:dyDescent="0.2">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c r="S148" t="e">
        <f>#REF!</f>
        <v>#REF!</v>
      </c>
      <c r="T148" t="e">
        <f>#REF!</f>
        <v>#REF!</v>
      </c>
      <c r="U148" t="e">
        <f>#REF!</f>
        <v>#REF!</v>
      </c>
      <c r="V148" t="e">
        <f>#REF!</f>
        <v>#REF!</v>
      </c>
      <c r="W148" t="e">
        <f>#REF!</f>
        <v>#REF!</v>
      </c>
      <c r="X148" t="e">
        <f>#REF!</f>
        <v>#REF!</v>
      </c>
      <c r="Y148" t="e">
        <f>#REF!</f>
        <v>#REF!</v>
      </c>
      <c r="Z148" t="e">
        <f>#REF!</f>
        <v>#REF!</v>
      </c>
      <c r="AA148" t="e">
        <f>#REF!</f>
        <v>#REF!</v>
      </c>
      <c r="AB148" t="e">
        <f>#REF!</f>
        <v>#REF!</v>
      </c>
      <c r="AC148" t="e">
        <f>#REF!</f>
        <v>#REF!</v>
      </c>
      <c r="AD148" t="e">
        <f>#REF!</f>
        <v>#REF!</v>
      </c>
      <c r="AE148" t="e">
        <f>#REF!</f>
        <v>#REF!</v>
      </c>
    </row>
    <row r="149" spans="1:31" x14ac:dyDescent="0.2">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c r="S149" t="e">
        <f>#REF!</f>
        <v>#REF!</v>
      </c>
      <c r="T149" t="e">
        <f>#REF!</f>
        <v>#REF!</v>
      </c>
      <c r="U149" t="e">
        <f>#REF!</f>
        <v>#REF!</v>
      </c>
      <c r="V149" t="e">
        <f>#REF!</f>
        <v>#REF!</v>
      </c>
      <c r="W149" t="e">
        <f>#REF!</f>
        <v>#REF!</v>
      </c>
      <c r="X149" t="e">
        <f>#REF!</f>
        <v>#REF!</v>
      </c>
      <c r="Y149" t="e">
        <f>#REF!</f>
        <v>#REF!</v>
      </c>
      <c r="Z149" t="e">
        <f>#REF!</f>
        <v>#REF!</v>
      </c>
      <c r="AA149" t="e">
        <f>#REF!</f>
        <v>#REF!</v>
      </c>
      <c r="AB149" t="e">
        <f>#REF!</f>
        <v>#REF!</v>
      </c>
      <c r="AC149" t="e">
        <f>#REF!</f>
        <v>#REF!</v>
      </c>
      <c r="AD149" t="e">
        <f>#REF!</f>
        <v>#REF!</v>
      </c>
      <c r="AE149" t="e">
        <f>#REF!</f>
        <v>#REF!</v>
      </c>
    </row>
    <row r="150" spans="1:31" x14ac:dyDescent="0.2">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c r="S150" t="e">
        <f>#REF!</f>
        <v>#REF!</v>
      </c>
      <c r="T150" t="e">
        <f>#REF!</f>
        <v>#REF!</v>
      </c>
      <c r="U150" t="e">
        <f>#REF!</f>
        <v>#REF!</v>
      </c>
      <c r="V150" t="e">
        <f>#REF!</f>
        <v>#REF!</v>
      </c>
      <c r="W150" t="e">
        <f>#REF!</f>
        <v>#REF!</v>
      </c>
      <c r="X150" t="e">
        <f>#REF!</f>
        <v>#REF!</v>
      </c>
      <c r="Y150" t="e">
        <f>#REF!</f>
        <v>#REF!</v>
      </c>
      <c r="Z150" t="e">
        <f>#REF!</f>
        <v>#REF!</v>
      </c>
      <c r="AA150" t="e">
        <f>#REF!</f>
        <v>#REF!</v>
      </c>
      <c r="AB150" t="e">
        <f>#REF!</f>
        <v>#REF!</v>
      </c>
      <c r="AC150" t="e">
        <f>#REF!</f>
        <v>#REF!</v>
      </c>
      <c r="AD150" t="e">
        <f>#REF!</f>
        <v>#REF!</v>
      </c>
      <c r="AE150" t="e">
        <f>#REF!</f>
        <v>#REF!</v>
      </c>
    </row>
    <row r="151" spans="1:31" x14ac:dyDescent="0.2">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c r="S151" t="e">
        <f>#REF!</f>
        <v>#REF!</v>
      </c>
      <c r="T151" t="e">
        <f>#REF!</f>
        <v>#REF!</v>
      </c>
      <c r="U151" t="e">
        <f>#REF!</f>
        <v>#REF!</v>
      </c>
      <c r="V151" t="e">
        <f>#REF!</f>
        <v>#REF!</v>
      </c>
      <c r="W151" t="e">
        <f>#REF!</f>
        <v>#REF!</v>
      </c>
      <c r="X151" t="e">
        <f>#REF!</f>
        <v>#REF!</v>
      </c>
      <c r="Y151" t="e">
        <f>#REF!</f>
        <v>#REF!</v>
      </c>
      <c r="Z151" t="e">
        <f>#REF!</f>
        <v>#REF!</v>
      </c>
      <c r="AA151" t="e">
        <f>#REF!</f>
        <v>#REF!</v>
      </c>
      <c r="AB151" t="e">
        <f>#REF!</f>
        <v>#REF!</v>
      </c>
      <c r="AC151" t="e">
        <f>#REF!</f>
        <v>#REF!</v>
      </c>
      <c r="AD151" t="e">
        <f>#REF!</f>
        <v>#REF!</v>
      </c>
      <c r="AE151" t="e">
        <f>#REF!</f>
        <v>#REF!</v>
      </c>
    </row>
    <row r="152" spans="1:31" x14ac:dyDescent="0.2">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c r="S152" t="e">
        <f>#REF!</f>
        <v>#REF!</v>
      </c>
      <c r="T152" t="e">
        <f>#REF!</f>
        <v>#REF!</v>
      </c>
      <c r="U152" t="e">
        <f>#REF!</f>
        <v>#REF!</v>
      </c>
      <c r="V152" t="e">
        <f>#REF!</f>
        <v>#REF!</v>
      </c>
      <c r="W152" t="e">
        <f>#REF!</f>
        <v>#REF!</v>
      </c>
      <c r="X152" t="e">
        <f>#REF!</f>
        <v>#REF!</v>
      </c>
      <c r="Y152" t="e">
        <f>#REF!</f>
        <v>#REF!</v>
      </c>
      <c r="Z152" t="e">
        <f>#REF!</f>
        <v>#REF!</v>
      </c>
      <c r="AA152" t="e">
        <f>#REF!</f>
        <v>#REF!</v>
      </c>
      <c r="AB152" t="e">
        <f>#REF!</f>
        <v>#REF!</v>
      </c>
      <c r="AC152" t="e">
        <f>#REF!</f>
        <v>#REF!</v>
      </c>
      <c r="AD152" t="e">
        <f>#REF!</f>
        <v>#REF!</v>
      </c>
      <c r="AE152" t="e">
        <f>#REF!</f>
        <v>#REF!</v>
      </c>
    </row>
    <row r="153" spans="1:31" x14ac:dyDescent="0.2">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c r="S153" t="e">
        <f>#REF!</f>
        <v>#REF!</v>
      </c>
      <c r="T153" t="e">
        <f>#REF!</f>
        <v>#REF!</v>
      </c>
      <c r="U153" t="e">
        <f>#REF!</f>
        <v>#REF!</v>
      </c>
      <c r="V153" t="e">
        <f>#REF!</f>
        <v>#REF!</v>
      </c>
      <c r="W153" t="e">
        <f>#REF!</f>
        <v>#REF!</v>
      </c>
      <c r="X153" t="e">
        <f>#REF!</f>
        <v>#REF!</v>
      </c>
      <c r="Y153" t="e">
        <f>#REF!</f>
        <v>#REF!</v>
      </c>
      <c r="Z153" t="e">
        <f>#REF!</f>
        <v>#REF!</v>
      </c>
      <c r="AA153" t="e">
        <f>#REF!</f>
        <v>#REF!</v>
      </c>
      <c r="AB153" t="e">
        <f>#REF!</f>
        <v>#REF!</v>
      </c>
      <c r="AC153" t="e">
        <f>#REF!</f>
        <v>#REF!</v>
      </c>
      <c r="AD153" t="e">
        <f>#REF!</f>
        <v>#REF!</v>
      </c>
      <c r="AE153" t="e">
        <f>#REF!</f>
        <v>#REF!</v>
      </c>
    </row>
    <row r="154" spans="1:31" x14ac:dyDescent="0.2">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c r="S154" t="e">
        <f>#REF!</f>
        <v>#REF!</v>
      </c>
      <c r="T154" t="e">
        <f>#REF!</f>
        <v>#REF!</v>
      </c>
      <c r="U154" t="e">
        <f>#REF!</f>
        <v>#REF!</v>
      </c>
      <c r="V154" t="e">
        <f>#REF!</f>
        <v>#REF!</v>
      </c>
      <c r="W154" t="e">
        <f>#REF!</f>
        <v>#REF!</v>
      </c>
      <c r="X154" t="e">
        <f>#REF!</f>
        <v>#REF!</v>
      </c>
      <c r="Y154" t="e">
        <f>#REF!</f>
        <v>#REF!</v>
      </c>
      <c r="Z154" t="e">
        <f>#REF!</f>
        <v>#REF!</v>
      </c>
      <c r="AA154" t="e">
        <f>#REF!</f>
        <v>#REF!</v>
      </c>
      <c r="AB154" t="e">
        <f>#REF!</f>
        <v>#REF!</v>
      </c>
      <c r="AC154" t="e">
        <f>#REF!</f>
        <v>#REF!</v>
      </c>
      <c r="AD154" t="e">
        <f>#REF!</f>
        <v>#REF!</v>
      </c>
      <c r="AE154" t="e">
        <f>#REF!</f>
        <v>#REF!</v>
      </c>
    </row>
    <row r="155" spans="1:31" x14ac:dyDescent="0.2">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c r="S155" t="e">
        <f>#REF!</f>
        <v>#REF!</v>
      </c>
      <c r="T155" t="e">
        <f>#REF!</f>
        <v>#REF!</v>
      </c>
      <c r="U155" t="e">
        <f>#REF!</f>
        <v>#REF!</v>
      </c>
      <c r="V155" t="e">
        <f>#REF!</f>
        <v>#REF!</v>
      </c>
      <c r="W155" t="e">
        <f>#REF!</f>
        <v>#REF!</v>
      </c>
      <c r="X155" t="e">
        <f>#REF!</f>
        <v>#REF!</v>
      </c>
      <c r="Y155" t="e">
        <f>#REF!</f>
        <v>#REF!</v>
      </c>
      <c r="Z155" t="e">
        <f>#REF!</f>
        <v>#REF!</v>
      </c>
      <c r="AA155" t="e">
        <f>#REF!</f>
        <v>#REF!</v>
      </c>
      <c r="AB155" t="e">
        <f>#REF!</f>
        <v>#REF!</v>
      </c>
      <c r="AC155" t="e">
        <f>#REF!</f>
        <v>#REF!</v>
      </c>
      <c r="AD155" t="e">
        <f>#REF!</f>
        <v>#REF!</v>
      </c>
      <c r="AE155" t="e">
        <f>#REF!</f>
        <v>#REF!</v>
      </c>
    </row>
    <row r="156" spans="1:31" x14ac:dyDescent="0.2">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c r="S156" t="e">
        <f>#REF!</f>
        <v>#REF!</v>
      </c>
      <c r="T156" t="e">
        <f>#REF!</f>
        <v>#REF!</v>
      </c>
      <c r="U156" t="e">
        <f>#REF!</f>
        <v>#REF!</v>
      </c>
      <c r="V156" t="e">
        <f>#REF!</f>
        <v>#REF!</v>
      </c>
      <c r="W156" t="e">
        <f>#REF!</f>
        <v>#REF!</v>
      </c>
      <c r="X156" t="e">
        <f>#REF!</f>
        <v>#REF!</v>
      </c>
      <c r="Y156" t="e">
        <f>#REF!</f>
        <v>#REF!</v>
      </c>
      <c r="Z156" t="e">
        <f>#REF!</f>
        <v>#REF!</v>
      </c>
      <c r="AA156" t="e">
        <f>#REF!</f>
        <v>#REF!</v>
      </c>
      <c r="AB156" t="e">
        <f>#REF!</f>
        <v>#REF!</v>
      </c>
      <c r="AC156" t="e">
        <f>#REF!</f>
        <v>#REF!</v>
      </c>
      <c r="AD156" t="e">
        <f>#REF!</f>
        <v>#REF!</v>
      </c>
      <c r="AE156" t="e">
        <f>#REF!</f>
        <v>#REF!</v>
      </c>
    </row>
    <row r="157" spans="1:31" x14ac:dyDescent="0.2">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c r="S157" t="e">
        <f>#REF!</f>
        <v>#REF!</v>
      </c>
      <c r="T157" t="e">
        <f>#REF!</f>
        <v>#REF!</v>
      </c>
      <c r="U157" t="e">
        <f>#REF!</f>
        <v>#REF!</v>
      </c>
      <c r="V157" t="e">
        <f>#REF!</f>
        <v>#REF!</v>
      </c>
      <c r="W157" t="e">
        <f>#REF!</f>
        <v>#REF!</v>
      </c>
      <c r="X157" t="e">
        <f>#REF!</f>
        <v>#REF!</v>
      </c>
      <c r="Y157" t="e">
        <f>#REF!</f>
        <v>#REF!</v>
      </c>
      <c r="Z157" t="e">
        <f>#REF!</f>
        <v>#REF!</v>
      </c>
      <c r="AA157" t="e">
        <f>#REF!</f>
        <v>#REF!</v>
      </c>
      <c r="AB157" t="e">
        <f>#REF!</f>
        <v>#REF!</v>
      </c>
      <c r="AC157" t="e">
        <f>#REF!</f>
        <v>#REF!</v>
      </c>
      <c r="AD157" t="e">
        <f>#REF!</f>
        <v>#REF!</v>
      </c>
      <c r="AE157" t="e">
        <f>#REF!</f>
        <v>#REF!</v>
      </c>
    </row>
    <row r="158" spans="1:31" x14ac:dyDescent="0.2">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c r="S158" t="e">
        <f>#REF!</f>
        <v>#REF!</v>
      </c>
      <c r="T158" t="e">
        <f>#REF!</f>
        <v>#REF!</v>
      </c>
      <c r="U158" t="e">
        <f>#REF!</f>
        <v>#REF!</v>
      </c>
      <c r="V158" t="e">
        <f>#REF!</f>
        <v>#REF!</v>
      </c>
      <c r="W158" t="e">
        <f>#REF!</f>
        <v>#REF!</v>
      </c>
      <c r="X158" t="e">
        <f>#REF!</f>
        <v>#REF!</v>
      </c>
      <c r="Y158" t="e">
        <f>#REF!</f>
        <v>#REF!</v>
      </c>
      <c r="Z158" t="e">
        <f>#REF!</f>
        <v>#REF!</v>
      </c>
      <c r="AA158" t="e">
        <f>#REF!</f>
        <v>#REF!</v>
      </c>
      <c r="AB158" t="e">
        <f>#REF!</f>
        <v>#REF!</v>
      </c>
      <c r="AC158" t="e">
        <f>#REF!</f>
        <v>#REF!</v>
      </c>
      <c r="AD158" t="e">
        <f>#REF!</f>
        <v>#REF!</v>
      </c>
      <c r="AE158" t="e">
        <f>#REF!</f>
        <v>#REF!</v>
      </c>
    </row>
    <row r="159" spans="1:31" x14ac:dyDescent="0.2">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c r="S159" t="e">
        <f>#REF!</f>
        <v>#REF!</v>
      </c>
      <c r="T159" t="e">
        <f>#REF!</f>
        <v>#REF!</v>
      </c>
      <c r="U159" t="e">
        <f>#REF!</f>
        <v>#REF!</v>
      </c>
      <c r="V159" t="e">
        <f>#REF!</f>
        <v>#REF!</v>
      </c>
      <c r="W159" t="e">
        <f>#REF!</f>
        <v>#REF!</v>
      </c>
      <c r="X159" t="e">
        <f>#REF!</f>
        <v>#REF!</v>
      </c>
      <c r="Y159" t="e">
        <f>#REF!</f>
        <v>#REF!</v>
      </c>
      <c r="Z159" t="e">
        <f>#REF!</f>
        <v>#REF!</v>
      </c>
      <c r="AA159" t="e">
        <f>#REF!</f>
        <v>#REF!</v>
      </c>
      <c r="AB159" t="e">
        <f>#REF!</f>
        <v>#REF!</v>
      </c>
      <c r="AC159" t="e">
        <f>#REF!</f>
        <v>#REF!</v>
      </c>
      <c r="AD159" t="e">
        <f>#REF!</f>
        <v>#REF!</v>
      </c>
      <c r="AE159" t="e">
        <f>#REF!</f>
        <v>#REF!</v>
      </c>
    </row>
    <row r="160" spans="1:31" x14ac:dyDescent="0.2">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c r="S160" t="e">
        <f>#REF!</f>
        <v>#REF!</v>
      </c>
      <c r="T160" t="e">
        <f>#REF!</f>
        <v>#REF!</v>
      </c>
      <c r="U160" t="e">
        <f>#REF!</f>
        <v>#REF!</v>
      </c>
      <c r="V160" t="e">
        <f>#REF!</f>
        <v>#REF!</v>
      </c>
      <c r="W160" t="e">
        <f>#REF!</f>
        <v>#REF!</v>
      </c>
      <c r="X160" t="e">
        <f>#REF!</f>
        <v>#REF!</v>
      </c>
      <c r="Y160" t="e">
        <f>#REF!</f>
        <v>#REF!</v>
      </c>
      <c r="Z160" t="e">
        <f>#REF!</f>
        <v>#REF!</v>
      </c>
      <c r="AA160" t="e">
        <f>#REF!</f>
        <v>#REF!</v>
      </c>
      <c r="AB160" t="e">
        <f>#REF!</f>
        <v>#REF!</v>
      </c>
      <c r="AC160" t="e">
        <f>#REF!</f>
        <v>#REF!</v>
      </c>
      <c r="AD160" t="e">
        <f>#REF!</f>
        <v>#REF!</v>
      </c>
      <c r="AE160" t="e">
        <f>#REF!</f>
        <v>#REF!</v>
      </c>
    </row>
    <row r="161" spans="1:31" x14ac:dyDescent="0.2">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c r="S161" t="e">
        <f>#REF!</f>
        <v>#REF!</v>
      </c>
      <c r="T161" t="e">
        <f>#REF!</f>
        <v>#REF!</v>
      </c>
      <c r="U161" t="e">
        <f>#REF!</f>
        <v>#REF!</v>
      </c>
      <c r="V161" t="e">
        <f>#REF!</f>
        <v>#REF!</v>
      </c>
      <c r="W161" t="e">
        <f>#REF!</f>
        <v>#REF!</v>
      </c>
      <c r="X161" t="e">
        <f>#REF!</f>
        <v>#REF!</v>
      </c>
      <c r="Y161" t="e">
        <f>#REF!</f>
        <v>#REF!</v>
      </c>
      <c r="Z161" t="e">
        <f>#REF!</f>
        <v>#REF!</v>
      </c>
      <c r="AA161" t="e">
        <f>#REF!</f>
        <v>#REF!</v>
      </c>
      <c r="AB161" t="e">
        <f>#REF!</f>
        <v>#REF!</v>
      </c>
      <c r="AC161" t="e">
        <f>#REF!</f>
        <v>#REF!</v>
      </c>
      <c r="AD161" t="e">
        <f>#REF!</f>
        <v>#REF!</v>
      </c>
      <c r="AE161" t="e">
        <f>#REF!</f>
        <v>#REF!</v>
      </c>
    </row>
    <row r="162" spans="1:31" x14ac:dyDescent="0.2">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c r="S162" t="e">
        <f>#REF!</f>
        <v>#REF!</v>
      </c>
      <c r="T162" t="e">
        <f>#REF!</f>
        <v>#REF!</v>
      </c>
      <c r="U162" t="e">
        <f>#REF!</f>
        <v>#REF!</v>
      </c>
      <c r="V162" t="e">
        <f>#REF!</f>
        <v>#REF!</v>
      </c>
      <c r="W162" t="e">
        <f>#REF!</f>
        <v>#REF!</v>
      </c>
      <c r="X162" t="e">
        <f>#REF!</f>
        <v>#REF!</v>
      </c>
      <c r="Y162" t="e">
        <f>#REF!</f>
        <v>#REF!</v>
      </c>
      <c r="Z162" t="e">
        <f>#REF!</f>
        <v>#REF!</v>
      </c>
      <c r="AA162" t="e">
        <f>#REF!</f>
        <v>#REF!</v>
      </c>
      <c r="AB162" t="e">
        <f>#REF!</f>
        <v>#REF!</v>
      </c>
      <c r="AC162" t="e">
        <f>#REF!</f>
        <v>#REF!</v>
      </c>
      <c r="AD162" t="e">
        <f>#REF!</f>
        <v>#REF!</v>
      </c>
      <c r="AE162" t="e">
        <f>#REF!</f>
        <v>#REF!</v>
      </c>
    </row>
    <row r="163" spans="1:31" x14ac:dyDescent="0.2">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c r="S163" t="e">
        <f>#REF!</f>
        <v>#REF!</v>
      </c>
      <c r="T163" t="e">
        <f>#REF!</f>
        <v>#REF!</v>
      </c>
      <c r="U163" t="e">
        <f>#REF!</f>
        <v>#REF!</v>
      </c>
      <c r="V163" t="e">
        <f>#REF!</f>
        <v>#REF!</v>
      </c>
      <c r="W163" t="e">
        <f>#REF!</f>
        <v>#REF!</v>
      </c>
      <c r="X163" t="e">
        <f>#REF!</f>
        <v>#REF!</v>
      </c>
      <c r="Y163" t="e">
        <f>#REF!</f>
        <v>#REF!</v>
      </c>
      <c r="Z163" t="e">
        <f>#REF!</f>
        <v>#REF!</v>
      </c>
      <c r="AA163" t="e">
        <f>#REF!</f>
        <v>#REF!</v>
      </c>
      <c r="AB163" t="e">
        <f>#REF!</f>
        <v>#REF!</v>
      </c>
      <c r="AC163" t="e">
        <f>#REF!</f>
        <v>#REF!</v>
      </c>
      <c r="AD163" t="e">
        <f>#REF!</f>
        <v>#REF!</v>
      </c>
      <c r="AE163" t="e">
        <f>#REF!</f>
        <v>#REF!</v>
      </c>
    </row>
    <row r="164" spans="1:31" x14ac:dyDescent="0.2">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c r="S164" t="e">
        <f>#REF!</f>
        <v>#REF!</v>
      </c>
      <c r="T164" t="e">
        <f>#REF!</f>
        <v>#REF!</v>
      </c>
      <c r="U164" t="e">
        <f>#REF!</f>
        <v>#REF!</v>
      </c>
      <c r="V164" t="e">
        <f>#REF!</f>
        <v>#REF!</v>
      </c>
      <c r="W164" t="e">
        <f>#REF!</f>
        <v>#REF!</v>
      </c>
      <c r="X164" t="e">
        <f>#REF!</f>
        <v>#REF!</v>
      </c>
      <c r="Y164" t="e">
        <f>#REF!</f>
        <v>#REF!</v>
      </c>
      <c r="Z164" t="e">
        <f>#REF!</f>
        <v>#REF!</v>
      </c>
      <c r="AA164" t="e">
        <f>#REF!</f>
        <v>#REF!</v>
      </c>
      <c r="AB164" t="e">
        <f>#REF!</f>
        <v>#REF!</v>
      </c>
      <c r="AC164" t="e">
        <f>#REF!</f>
        <v>#REF!</v>
      </c>
      <c r="AD164" t="e">
        <f>#REF!</f>
        <v>#REF!</v>
      </c>
      <c r="AE164" t="e">
        <f>#REF!</f>
        <v>#REF!</v>
      </c>
    </row>
    <row r="165" spans="1:31" x14ac:dyDescent="0.2">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c r="S165" t="e">
        <f>#REF!</f>
        <v>#REF!</v>
      </c>
      <c r="T165" t="e">
        <f>#REF!</f>
        <v>#REF!</v>
      </c>
      <c r="U165" t="e">
        <f>#REF!</f>
        <v>#REF!</v>
      </c>
      <c r="V165" t="e">
        <f>#REF!</f>
        <v>#REF!</v>
      </c>
      <c r="W165" t="e">
        <f>#REF!</f>
        <v>#REF!</v>
      </c>
      <c r="X165" t="e">
        <f>#REF!</f>
        <v>#REF!</v>
      </c>
      <c r="Y165" t="e">
        <f>#REF!</f>
        <v>#REF!</v>
      </c>
      <c r="Z165" t="e">
        <f>#REF!</f>
        <v>#REF!</v>
      </c>
      <c r="AA165" t="e">
        <f>#REF!</f>
        <v>#REF!</v>
      </c>
      <c r="AB165" t="e">
        <f>#REF!</f>
        <v>#REF!</v>
      </c>
      <c r="AC165" t="e">
        <f>#REF!</f>
        <v>#REF!</v>
      </c>
      <c r="AD165" t="e">
        <f>#REF!</f>
        <v>#REF!</v>
      </c>
      <c r="AE165" t="e">
        <f>#REF!</f>
        <v>#REF!</v>
      </c>
    </row>
    <row r="166" spans="1:31" x14ac:dyDescent="0.2">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c r="S166" t="e">
        <f>#REF!</f>
        <v>#REF!</v>
      </c>
      <c r="T166" t="e">
        <f>#REF!</f>
        <v>#REF!</v>
      </c>
      <c r="U166" t="e">
        <f>#REF!</f>
        <v>#REF!</v>
      </c>
      <c r="V166" t="e">
        <f>#REF!</f>
        <v>#REF!</v>
      </c>
      <c r="W166" t="e">
        <f>#REF!</f>
        <v>#REF!</v>
      </c>
      <c r="X166" t="e">
        <f>#REF!</f>
        <v>#REF!</v>
      </c>
      <c r="Y166" t="e">
        <f>#REF!</f>
        <v>#REF!</v>
      </c>
      <c r="Z166" t="e">
        <f>#REF!</f>
        <v>#REF!</v>
      </c>
      <c r="AA166" t="e">
        <f>#REF!</f>
        <v>#REF!</v>
      </c>
      <c r="AB166" t="e">
        <f>#REF!</f>
        <v>#REF!</v>
      </c>
      <c r="AC166" t="e">
        <f>#REF!</f>
        <v>#REF!</v>
      </c>
      <c r="AD166" t="e">
        <f>#REF!</f>
        <v>#REF!</v>
      </c>
      <c r="AE166" t="e">
        <f>#REF!</f>
        <v>#REF!</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6" tint="-0.499984740745262"/>
  </sheetPr>
  <dimension ref="A1:FN50"/>
  <sheetViews>
    <sheetView zoomScale="80" zoomScaleNormal="80" workbookViewId="0">
      <selection activeCell="A160" sqref="A160:AE166"/>
    </sheetView>
  </sheetViews>
  <sheetFormatPr defaultColWidth="8.85546875" defaultRowHeight="12.75" x14ac:dyDescent="0.2"/>
  <cols>
    <col min="1" max="1" width="2.85546875" bestFit="1" customWidth="1"/>
    <col min="2" max="2" width="18.42578125" bestFit="1" customWidth="1"/>
    <col min="3" max="4" width="10.42578125" bestFit="1" customWidth="1"/>
    <col min="5" max="5" width="5.140625" bestFit="1" customWidth="1"/>
    <col min="6" max="6" width="7.42578125" bestFit="1" customWidth="1"/>
    <col min="7" max="7" width="4.28515625" bestFit="1" customWidth="1"/>
    <col min="8" max="8" width="23.7109375" bestFit="1" customWidth="1"/>
    <col min="9" max="9" width="27.140625" bestFit="1" customWidth="1"/>
    <col min="10" max="10" width="17" bestFit="1" customWidth="1"/>
    <col min="11" max="12" width="20.42578125" bestFit="1" customWidth="1"/>
    <col min="13" max="13" width="19.7109375" bestFit="1" customWidth="1"/>
    <col min="14" max="14" width="16.85546875" bestFit="1" customWidth="1"/>
    <col min="15" max="15" width="9" bestFit="1" customWidth="1"/>
    <col min="16" max="16" width="5.28515625" bestFit="1" customWidth="1"/>
    <col min="17" max="17" width="6.7109375" customWidth="1"/>
    <col min="18" max="18" width="15.140625" bestFit="1" customWidth="1"/>
    <col min="19" max="20" width="22.42578125" bestFit="1" customWidth="1"/>
    <col min="21" max="21" width="25.7109375" bestFit="1" customWidth="1"/>
    <col min="22" max="22" width="24.7109375" bestFit="1" customWidth="1"/>
    <col min="23" max="23" width="19.42578125" bestFit="1" customWidth="1"/>
    <col min="24" max="24" width="21.7109375" bestFit="1" customWidth="1"/>
    <col min="25" max="25" width="20.7109375" bestFit="1" customWidth="1"/>
    <col min="26" max="26" width="13.28515625" bestFit="1" customWidth="1"/>
    <col min="27" max="27" width="21.7109375" bestFit="1" customWidth="1"/>
    <col min="28" max="28" width="18" bestFit="1" customWidth="1"/>
    <col min="29" max="29" width="17" bestFit="1" customWidth="1"/>
    <col min="30" max="30" width="38.85546875" bestFit="1" customWidth="1"/>
    <col min="31" max="31" width="31.140625" bestFit="1" customWidth="1"/>
    <col min="32" max="32" width="34" bestFit="1" customWidth="1"/>
    <col min="33" max="33" width="30.42578125" bestFit="1" customWidth="1"/>
    <col min="34" max="34" width="45.28515625" bestFit="1" customWidth="1"/>
    <col min="35" max="35" width="29" bestFit="1" customWidth="1"/>
    <col min="36" max="37" width="34.7109375" bestFit="1" customWidth="1"/>
    <col min="38" max="39" width="21.42578125" bestFit="1" customWidth="1"/>
    <col min="40" max="40" width="18.7109375" bestFit="1" customWidth="1"/>
    <col min="41" max="41" width="25.140625" bestFit="1" customWidth="1"/>
    <col min="42" max="42" width="22.42578125" bestFit="1" customWidth="1"/>
    <col min="43" max="43" width="21.42578125" bestFit="1" customWidth="1"/>
    <col min="44" max="44" width="18.7109375" bestFit="1" customWidth="1"/>
    <col min="45" max="45" width="21.42578125" bestFit="1" customWidth="1"/>
    <col min="46" max="46" width="18.7109375" bestFit="1" customWidth="1"/>
    <col min="47" max="47" width="22.28515625" bestFit="1" customWidth="1"/>
    <col min="48" max="48" width="19.42578125" bestFit="1" customWidth="1"/>
    <col min="49" max="49" width="22.42578125" bestFit="1" customWidth="1"/>
    <col min="50" max="51" width="19.7109375" bestFit="1" customWidth="1"/>
    <col min="52" max="52" width="35.42578125" bestFit="1" customWidth="1"/>
    <col min="53" max="53" width="32.85546875" bestFit="1" customWidth="1"/>
    <col min="54" max="54" width="25.28515625" bestFit="1" customWidth="1"/>
    <col min="55" max="55" width="22.7109375" bestFit="1" customWidth="1"/>
    <col min="56" max="56" width="27.28515625" bestFit="1" customWidth="1"/>
    <col min="57" max="57" width="24.42578125" bestFit="1" customWidth="1"/>
    <col min="58" max="58" width="25.28515625" bestFit="1" customWidth="1"/>
    <col min="59" max="59" width="22.7109375" bestFit="1" customWidth="1"/>
    <col min="60" max="60" width="25.28515625" bestFit="1" customWidth="1"/>
    <col min="61" max="61" width="22.7109375" bestFit="1" customWidth="1"/>
    <col min="62" max="62" width="28.28515625" bestFit="1" customWidth="1"/>
    <col min="63" max="63" width="25.7109375" bestFit="1" customWidth="1"/>
    <col min="64" max="64" width="23.85546875" bestFit="1" customWidth="1"/>
    <col min="65" max="65" width="21.140625" bestFit="1" customWidth="1"/>
    <col min="66" max="68" width="16" bestFit="1" customWidth="1"/>
    <col min="69" max="70" width="15.7109375" bestFit="1" customWidth="1"/>
    <col min="71" max="71" width="12.140625" bestFit="1" customWidth="1"/>
    <col min="72" max="74" width="14.7109375" bestFit="1" customWidth="1"/>
    <col min="75" max="75" width="11.7109375" bestFit="1" customWidth="1"/>
    <col min="76" max="76" width="11.85546875" bestFit="1" customWidth="1"/>
    <col min="77" max="77" width="13.42578125" bestFit="1" customWidth="1"/>
    <col min="78" max="78" width="21.42578125" bestFit="1" customWidth="1"/>
    <col min="79" max="79" width="14.28515625" bestFit="1" customWidth="1"/>
    <col min="80" max="87" width="14.28515625" customWidth="1"/>
    <col min="88" max="89" width="17" bestFit="1" customWidth="1"/>
    <col min="90" max="90" width="20" bestFit="1" customWidth="1"/>
    <col min="91" max="91" width="30.140625" bestFit="1" customWidth="1"/>
    <col min="92" max="92" width="19.42578125" bestFit="1" customWidth="1"/>
    <col min="93" max="93" width="16.42578125" bestFit="1" customWidth="1"/>
  </cols>
  <sheetData>
    <row r="1" spans="1:170" ht="15" x14ac:dyDescent="0.25">
      <c r="A1" s="618" t="s">
        <v>1</v>
      </c>
      <c r="B1" s="618" t="s">
        <v>430</v>
      </c>
      <c r="C1" s="618" t="s">
        <v>431</v>
      </c>
      <c r="D1" s="618" t="s">
        <v>432</v>
      </c>
      <c r="E1" s="618" t="s">
        <v>433</v>
      </c>
      <c r="F1" s="618" t="s">
        <v>434</v>
      </c>
      <c r="G1" s="618" t="s">
        <v>435</v>
      </c>
      <c r="H1" s="618" t="s">
        <v>436</v>
      </c>
      <c r="I1" s="618" t="s">
        <v>437</v>
      </c>
      <c r="J1" s="618" t="s">
        <v>438</v>
      </c>
      <c r="K1" s="618" t="s">
        <v>439</v>
      </c>
      <c r="L1" s="618" t="s">
        <v>440</v>
      </c>
      <c r="M1" s="618" t="s">
        <v>441</v>
      </c>
      <c r="N1" s="618" t="s">
        <v>79</v>
      </c>
      <c r="O1" s="618" t="s">
        <v>88</v>
      </c>
      <c r="P1" s="618" t="s">
        <v>117</v>
      </c>
      <c r="Q1" s="618" t="s">
        <v>442</v>
      </c>
      <c r="R1" s="618" t="s">
        <v>128</v>
      </c>
      <c r="S1" s="618" t="s">
        <v>132</v>
      </c>
      <c r="T1" s="618" t="s">
        <v>133</v>
      </c>
      <c r="U1" s="618" t="s">
        <v>135</v>
      </c>
      <c r="V1" s="618" t="s">
        <v>137</v>
      </c>
      <c r="W1" s="618" t="s">
        <v>139</v>
      </c>
      <c r="X1" s="618" t="s">
        <v>141</v>
      </c>
      <c r="Y1" s="618" t="s">
        <v>143</v>
      </c>
      <c r="Z1" s="618" t="s">
        <v>443</v>
      </c>
      <c r="AA1" s="618" t="s">
        <v>444</v>
      </c>
      <c r="AB1" s="618" t="s">
        <v>160</v>
      </c>
      <c r="AC1" s="618" t="s">
        <v>445</v>
      </c>
      <c r="AD1" s="618" t="e">
        <f>#REF!</f>
        <v>#REF!</v>
      </c>
      <c r="AE1" s="618" t="e">
        <f>#REF!</f>
        <v>#REF!</v>
      </c>
      <c r="AF1" s="618" t="e">
        <f>#REF!</f>
        <v>#REF!</v>
      </c>
      <c r="AG1" s="618" t="e">
        <f>#REF!</f>
        <v>#REF!</v>
      </c>
      <c r="AH1" s="618" t="e">
        <f>#REF!</f>
        <v>#REF!</v>
      </c>
      <c r="AI1" s="618" t="e">
        <f>#REF!</f>
        <v>#REF!</v>
      </c>
      <c r="AJ1" s="618" t="e">
        <f>#REF!</f>
        <v>#REF!</v>
      </c>
      <c r="AK1" s="618" t="e">
        <f>#REF!</f>
        <v>#REF!</v>
      </c>
      <c r="AL1" s="618" t="e">
        <f>#REF!</f>
        <v>#REF!</v>
      </c>
      <c r="AM1" s="618" t="e">
        <f>#REF!</f>
        <v>#REF!</v>
      </c>
      <c r="AN1" s="618" t="e">
        <f>#REF!</f>
        <v>#REF!</v>
      </c>
      <c r="AO1" s="618" t="e">
        <f>#REF!</f>
        <v>#REF!</v>
      </c>
      <c r="AP1" s="618" t="e">
        <f>#REF!</f>
        <v>#REF!</v>
      </c>
      <c r="AQ1" s="618" t="e">
        <f>#REF!</f>
        <v>#REF!</v>
      </c>
      <c r="AR1" s="618" t="e">
        <f>#REF!</f>
        <v>#REF!</v>
      </c>
      <c r="AS1" s="618" t="e">
        <f>#REF!</f>
        <v>#REF!</v>
      </c>
      <c r="AT1" s="618" t="e">
        <f>#REF!</f>
        <v>#REF!</v>
      </c>
      <c r="AU1" s="618" t="e">
        <f>#REF!</f>
        <v>#REF!</v>
      </c>
      <c r="AV1" s="618" t="e">
        <f>#REF!</f>
        <v>#REF!</v>
      </c>
      <c r="AW1" s="618" t="e">
        <f>#REF!</f>
        <v>#REF!</v>
      </c>
      <c r="AX1" s="618" t="e">
        <f>#REF!</f>
        <v>#REF!</v>
      </c>
      <c r="AY1" s="618" t="e">
        <f>#REF!</f>
        <v>#REF!</v>
      </c>
      <c r="AZ1" s="618" t="e">
        <f>#REF!</f>
        <v>#REF!</v>
      </c>
      <c r="BA1" s="618" t="e">
        <f>#REF!</f>
        <v>#REF!</v>
      </c>
      <c r="BB1" s="618" t="e">
        <f>#REF!</f>
        <v>#REF!</v>
      </c>
      <c r="BC1" s="618" t="e">
        <f>#REF!</f>
        <v>#REF!</v>
      </c>
      <c r="BD1" s="618" t="e">
        <f>#REF!</f>
        <v>#REF!</v>
      </c>
      <c r="BE1" s="618" t="e">
        <f>#REF!</f>
        <v>#REF!</v>
      </c>
      <c r="BF1" s="618" t="e">
        <f>#REF!</f>
        <v>#REF!</v>
      </c>
      <c r="BG1" s="618" t="e">
        <f>#REF!</f>
        <v>#REF!</v>
      </c>
      <c r="BH1" s="618" t="e">
        <f>#REF!</f>
        <v>#REF!</v>
      </c>
      <c r="BI1" s="618" t="e">
        <f>#REF!</f>
        <v>#REF!</v>
      </c>
      <c r="BJ1" s="618" t="e">
        <f>#REF!</f>
        <v>#REF!</v>
      </c>
      <c r="BK1" s="618" t="e">
        <f>#REF!</f>
        <v>#REF!</v>
      </c>
      <c r="BL1" s="618" t="e">
        <f>#REF!</f>
        <v>#REF!</v>
      </c>
      <c r="BM1" s="618" t="e">
        <f>#REF!</f>
        <v>#REF!</v>
      </c>
      <c r="BN1" s="618" t="e">
        <f>#REF!</f>
        <v>#REF!</v>
      </c>
      <c r="BO1" s="618" t="e">
        <f>#REF!</f>
        <v>#REF!</v>
      </c>
      <c r="BP1" s="618" t="e">
        <f>#REF!</f>
        <v>#REF!</v>
      </c>
      <c r="BQ1" s="618" t="e">
        <f>#REF!</f>
        <v>#REF!</v>
      </c>
      <c r="BR1" s="618" t="e">
        <f>#REF!</f>
        <v>#REF!</v>
      </c>
      <c r="BS1" s="618" t="e">
        <f>#REF!</f>
        <v>#REF!</v>
      </c>
      <c r="BT1" s="618" t="e">
        <f>#REF!</f>
        <v>#REF!</v>
      </c>
      <c r="BU1" s="618" t="e">
        <f>#REF!</f>
        <v>#REF!</v>
      </c>
      <c r="BV1" s="618" t="e">
        <f>#REF!</f>
        <v>#REF!</v>
      </c>
      <c r="BW1" s="618" t="e">
        <f>#REF!</f>
        <v>#REF!</v>
      </c>
      <c r="BX1" s="618" t="e">
        <f>#REF!</f>
        <v>#REF!</v>
      </c>
      <c r="BY1" s="618" t="e">
        <f>#REF!</f>
        <v>#REF!</v>
      </c>
      <c r="BZ1" s="618" t="e">
        <f>#REF!</f>
        <v>#REF!</v>
      </c>
      <c r="CA1" s="618" t="e">
        <f>#REF!</f>
        <v>#REF!</v>
      </c>
      <c r="CB1" s="618" t="e">
        <f>#REF!</f>
        <v>#REF!</v>
      </c>
      <c r="CC1" s="618" t="e">
        <f>#REF!</f>
        <v>#REF!</v>
      </c>
      <c r="CD1" s="618" t="e">
        <f>#REF!</f>
        <v>#REF!</v>
      </c>
      <c r="CE1" s="618" t="e">
        <f>#REF!</f>
        <v>#REF!</v>
      </c>
      <c r="CF1" s="618" t="e">
        <f>#REF!</f>
        <v>#REF!</v>
      </c>
      <c r="CG1" s="618" t="e">
        <f>#REF!</f>
        <v>#REF!</v>
      </c>
      <c r="CH1" s="618" t="e">
        <f>#REF!</f>
        <v>#REF!</v>
      </c>
      <c r="CI1" s="618" t="e">
        <f>#REF!</f>
        <v>#REF!</v>
      </c>
      <c r="CJ1" s="618" t="e">
        <f>#REF!</f>
        <v>#REF!</v>
      </c>
      <c r="CK1" s="618" t="e">
        <f>#REF!</f>
        <v>#REF!</v>
      </c>
      <c r="CL1" s="618" t="e">
        <f>#REF!</f>
        <v>#REF!</v>
      </c>
      <c r="CM1" s="618" t="e">
        <f>#REF!</f>
        <v>#REF!</v>
      </c>
      <c r="CN1" s="618" t="e">
        <f>#REF!</f>
        <v>#REF!</v>
      </c>
      <c r="CO1" s="618" t="e">
        <f>#REF!</f>
        <v>#REF!</v>
      </c>
      <c r="CP1" t="e">
        <f>#REF!</f>
        <v>#REF!</v>
      </c>
      <c r="CQ1" t="e">
        <f>#REF!</f>
        <v>#REF!</v>
      </c>
      <c r="CR1" t="e">
        <f>#REF!</f>
        <v>#REF!</v>
      </c>
      <c r="CS1" t="e">
        <f>#REF!</f>
        <v>#REF!</v>
      </c>
      <c r="CT1" t="e">
        <f>#REF!</f>
        <v>#REF!</v>
      </c>
      <c r="CU1" t="e">
        <f>#REF!</f>
        <v>#REF!</v>
      </c>
      <c r="CV1" t="e">
        <f>#REF!</f>
        <v>#REF!</v>
      </c>
      <c r="CW1" t="e">
        <f>#REF!</f>
        <v>#REF!</v>
      </c>
      <c r="CX1" t="e">
        <f>#REF!</f>
        <v>#REF!</v>
      </c>
      <c r="CY1" t="e">
        <f>#REF!</f>
        <v>#REF!</v>
      </c>
      <c r="CZ1" t="e">
        <f>#REF!</f>
        <v>#REF!</v>
      </c>
      <c r="DA1" t="e">
        <f>#REF!</f>
        <v>#REF!</v>
      </c>
      <c r="DB1" t="e">
        <f>#REF!</f>
        <v>#REF!</v>
      </c>
      <c r="DC1" t="e">
        <f>#REF!</f>
        <v>#REF!</v>
      </c>
      <c r="DD1" t="e">
        <f>#REF!</f>
        <v>#REF!</v>
      </c>
      <c r="DE1" t="e">
        <f>#REF!</f>
        <v>#REF!</v>
      </c>
      <c r="DF1" t="e">
        <f>#REF!</f>
        <v>#REF!</v>
      </c>
      <c r="DG1" t="e">
        <f>#REF!</f>
        <v>#REF!</v>
      </c>
      <c r="DH1" t="e">
        <f>#REF!</f>
        <v>#REF!</v>
      </c>
      <c r="DI1" t="e">
        <f>#REF!</f>
        <v>#REF!</v>
      </c>
      <c r="DJ1" t="e">
        <f>#REF!</f>
        <v>#REF!</v>
      </c>
      <c r="DK1" t="e">
        <f>#REF!</f>
        <v>#REF!</v>
      </c>
      <c r="DL1" t="e">
        <f>#REF!</f>
        <v>#REF!</v>
      </c>
      <c r="DM1" t="e">
        <f>#REF!</f>
        <v>#REF!</v>
      </c>
      <c r="DN1" t="e">
        <f>#REF!</f>
        <v>#REF!</v>
      </c>
      <c r="DO1" t="e">
        <f>#REF!</f>
        <v>#REF!</v>
      </c>
      <c r="DP1" t="e">
        <f>#REF!</f>
        <v>#REF!</v>
      </c>
      <c r="DQ1" t="e">
        <f>#REF!</f>
        <v>#REF!</v>
      </c>
      <c r="DR1" t="e">
        <f>#REF!</f>
        <v>#REF!</v>
      </c>
      <c r="DS1" t="e">
        <f>#REF!</f>
        <v>#REF!</v>
      </c>
      <c r="DT1" t="e">
        <f>#REF!</f>
        <v>#REF!</v>
      </c>
      <c r="DU1" t="e">
        <f>#REF!</f>
        <v>#REF!</v>
      </c>
      <c r="DV1" t="e">
        <f>#REF!</f>
        <v>#REF!</v>
      </c>
      <c r="DW1" t="e">
        <f>#REF!</f>
        <v>#REF!</v>
      </c>
      <c r="DX1" t="e">
        <f>#REF!</f>
        <v>#REF!</v>
      </c>
      <c r="DY1" t="e">
        <f>#REF!</f>
        <v>#REF!</v>
      </c>
      <c r="DZ1" t="e">
        <f>#REF!</f>
        <v>#REF!</v>
      </c>
      <c r="EA1" t="e">
        <f>#REF!</f>
        <v>#REF!</v>
      </c>
      <c r="EB1" t="e">
        <f>#REF!</f>
        <v>#REF!</v>
      </c>
      <c r="EC1" t="e">
        <f>#REF!</f>
        <v>#REF!</v>
      </c>
      <c r="ED1" t="e">
        <f>#REF!</f>
        <v>#REF!</v>
      </c>
      <c r="EE1" t="e">
        <f>#REF!</f>
        <v>#REF!</v>
      </c>
      <c r="EF1" t="e">
        <f>#REF!</f>
        <v>#REF!</v>
      </c>
      <c r="EG1" t="e">
        <f>#REF!</f>
        <v>#REF!</v>
      </c>
      <c r="EH1" t="e">
        <f>#REF!</f>
        <v>#REF!</v>
      </c>
      <c r="EI1" t="e">
        <f>#REF!</f>
        <v>#REF!</v>
      </c>
      <c r="EJ1" t="e">
        <f>#REF!</f>
        <v>#REF!</v>
      </c>
      <c r="EK1" t="e">
        <f>#REF!</f>
        <v>#REF!</v>
      </c>
      <c r="EL1" t="e">
        <f>#REF!</f>
        <v>#REF!</v>
      </c>
      <c r="EM1" t="e">
        <f>#REF!</f>
        <v>#REF!</v>
      </c>
      <c r="EN1" t="e">
        <f>#REF!</f>
        <v>#REF!</v>
      </c>
      <c r="EO1" t="e">
        <f>#REF!</f>
        <v>#REF!</v>
      </c>
      <c r="EP1" t="e">
        <f>#REF!</f>
        <v>#REF!</v>
      </c>
      <c r="EQ1" t="e">
        <f>#REF!</f>
        <v>#REF!</v>
      </c>
      <c r="ER1" t="e">
        <f>#REF!</f>
        <v>#REF!</v>
      </c>
      <c r="ES1" t="e">
        <f>#REF!</f>
        <v>#REF!</v>
      </c>
      <c r="ET1" t="e">
        <f>#REF!</f>
        <v>#REF!</v>
      </c>
      <c r="EU1" t="e">
        <f>#REF!</f>
        <v>#REF!</v>
      </c>
      <c r="EV1" t="e">
        <f>#REF!</f>
        <v>#REF!</v>
      </c>
      <c r="EW1" t="e">
        <f>#REF!</f>
        <v>#REF!</v>
      </c>
      <c r="EX1" t="e">
        <f>#REF!</f>
        <v>#REF!</v>
      </c>
      <c r="EY1" t="e">
        <f>#REF!</f>
        <v>#REF!</v>
      </c>
      <c r="EZ1" t="e">
        <f>#REF!</f>
        <v>#REF!</v>
      </c>
      <c r="FA1" t="e">
        <f>#REF!</f>
        <v>#REF!</v>
      </c>
      <c r="FB1" t="e">
        <f>#REF!</f>
        <v>#REF!</v>
      </c>
      <c r="FC1" t="e">
        <f>#REF!</f>
        <v>#REF!</v>
      </c>
      <c r="FD1" t="e">
        <f>#REF!</f>
        <v>#REF!</v>
      </c>
      <c r="FE1" t="e">
        <f>#REF!</f>
        <v>#REF!</v>
      </c>
      <c r="FF1" t="e">
        <f>#REF!</f>
        <v>#REF!</v>
      </c>
      <c r="FG1" t="e">
        <f>#REF!</f>
        <v>#REF!</v>
      </c>
      <c r="FH1" t="e">
        <f>#REF!</f>
        <v>#REF!</v>
      </c>
      <c r="FI1" t="e">
        <f>#REF!</f>
        <v>#REF!</v>
      </c>
      <c r="FJ1" t="e">
        <f>#REF!</f>
        <v>#REF!</v>
      </c>
      <c r="FK1" t="e">
        <f>#REF!</f>
        <v>#REF!</v>
      </c>
      <c r="FL1" t="e">
        <f>#REF!</f>
        <v>#REF!</v>
      </c>
      <c r="FM1" t="e">
        <f>#REF!</f>
        <v>#REF!</v>
      </c>
      <c r="FN1" t="e">
        <f>#REF!</f>
        <v>#REF!</v>
      </c>
    </row>
    <row r="2" spans="1:170" ht="15" x14ac:dyDescent="0.25">
      <c r="A2" s="619">
        <v>1</v>
      </c>
      <c r="B2" s="133" t="e">
        <f>RIGHT(#REF!,LEN(#REF!)-(FIND("Standards",#REF!,1)+9))</f>
        <v>#REF!</v>
      </c>
      <c r="C2" s="620" t="e">
        <f>#REF!</f>
        <v>#REF!</v>
      </c>
      <c r="D2" s="620">
        <v>72686</v>
      </c>
      <c r="E2" s="621" t="e">
        <f>#REF!</f>
        <v>#REF!</v>
      </c>
      <c r="F2" s="621" t="e">
        <f>#REF!</f>
        <v>#REF!</v>
      </c>
      <c r="G2" s="619" t="e">
        <f>#REF!</f>
        <v>#REF!</v>
      </c>
      <c r="H2" s="619" t="e">
        <f>#REF!</f>
        <v>#REF!</v>
      </c>
      <c r="I2" s="621" t="e">
        <f>#REF!</f>
        <v>#REF!</v>
      </c>
      <c r="J2" s="619" t="e">
        <f>#REF!</f>
        <v>#REF!</v>
      </c>
      <c r="K2" s="621" t="e">
        <f>#REF!</f>
        <v>#REF!</v>
      </c>
      <c r="L2" s="622" t="e">
        <f>#REF!</f>
        <v>#REF!</v>
      </c>
      <c r="M2" s="622" t="e">
        <f>#REF!</f>
        <v>#REF!</v>
      </c>
      <c r="N2" t="e">
        <f>#REF!</f>
        <v>#REF!</v>
      </c>
      <c r="O2" t="e">
        <f>#REF!</f>
        <v>#REF!</v>
      </c>
      <c r="P2" t="e">
        <f>#REF!</f>
        <v>#REF!</v>
      </c>
      <c r="Q2" s="136" t="e">
        <f>#REF!</f>
        <v>#REF!</v>
      </c>
      <c r="R2" s="136" t="e">
        <f>#REF!</f>
        <v>#REF!</v>
      </c>
      <c r="S2" s="136" t="e">
        <f>#REF!</f>
        <v>#REF!</v>
      </c>
      <c r="T2" s="136" t="e">
        <f>#REF!</f>
        <v>#REF!</v>
      </c>
      <c r="U2" s="136" t="e">
        <f>#REF!</f>
        <v>#REF!</v>
      </c>
      <c r="V2" s="136" t="e">
        <f>#REF!</f>
        <v>#REF!</v>
      </c>
      <c r="W2" s="136" t="e">
        <f>#REF!</f>
        <v>#REF!</v>
      </c>
      <c r="X2" s="136" t="e">
        <f>#REF!</f>
        <v>#REF!</v>
      </c>
      <c r="Y2" s="136" t="e">
        <f>#REF!</f>
        <v>#REF!</v>
      </c>
      <c r="Z2" s="136" t="e">
        <f>#REF!</f>
        <v>#REF!</v>
      </c>
      <c r="AA2" s="136" t="e">
        <f>#REF!</f>
        <v>#REF!</v>
      </c>
      <c r="AB2" s="136" t="e">
        <f>#REF!</f>
        <v>#REF!</v>
      </c>
      <c r="AC2" s="136" t="e">
        <f>#REF!</f>
        <v>#REF!</v>
      </c>
      <c r="AD2" s="136" t="e">
        <f>#REF!</f>
        <v>#REF!</v>
      </c>
      <c r="AE2" s="136" t="e">
        <f>#REF!</f>
        <v>#REF!</v>
      </c>
      <c r="AF2" s="136" t="e">
        <f>#REF!</f>
        <v>#REF!</v>
      </c>
      <c r="AG2" s="136" t="e">
        <f>#REF!</f>
        <v>#REF!</v>
      </c>
      <c r="AH2" s="136" t="e">
        <f>#REF!</f>
        <v>#REF!</v>
      </c>
      <c r="AI2" s="136" t="e">
        <f>#REF!</f>
        <v>#REF!</v>
      </c>
      <c r="AJ2" s="136" t="e">
        <f>#REF!</f>
        <v>#REF!</v>
      </c>
      <c r="AK2" s="136" t="e">
        <f>#REF!</f>
        <v>#REF!</v>
      </c>
      <c r="AL2" s="136"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s="137" t="e">
        <f>#REF!</f>
        <v>#REF!</v>
      </c>
      <c r="BO2" s="137" t="e">
        <f>#REF!</f>
        <v>#REF!</v>
      </c>
      <c r="BP2" s="137" t="e">
        <f>#REF!</f>
        <v>#REF!</v>
      </c>
      <c r="BQ2" s="137" t="e">
        <f>#REF!</f>
        <v>#REF!</v>
      </c>
      <c r="BR2" s="137" t="e">
        <f>#REF!</f>
        <v>#REF!</v>
      </c>
      <c r="BS2" s="137" t="e">
        <f>#REF!</f>
        <v>#REF!</v>
      </c>
      <c r="BT2" s="137" t="e">
        <f>#REF!</f>
        <v>#REF!</v>
      </c>
      <c r="BU2" s="137" t="e">
        <f>#REF!</f>
        <v>#REF!</v>
      </c>
      <c r="BV2" s="137" t="e">
        <f>#REF!</f>
        <v>#REF!</v>
      </c>
      <c r="BW2" s="137" t="e">
        <f>#REF!</f>
        <v>#REF!</v>
      </c>
      <c r="BX2" s="137" t="e">
        <f>#REF!</f>
        <v>#REF!</v>
      </c>
      <c r="BY2" s="137" t="e">
        <f>#REF!</f>
        <v>#REF!</v>
      </c>
      <c r="BZ2" s="137" t="e">
        <f>#REF!</f>
        <v>#REF!</v>
      </c>
      <c r="CA2" s="137" t="e">
        <f>#REF!</f>
        <v>#REF!</v>
      </c>
      <c r="CB2" t="e">
        <f>#REF!</f>
        <v>#REF!</v>
      </c>
      <c r="CC2" t="e">
        <f>#REF!</f>
        <v>#REF!</v>
      </c>
      <c r="CD2" t="e">
        <f>#REF!</f>
        <v>#REF!</v>
      </c>
      <c r="CE2" t="e">
        <f>#REF!</f>
        <v>#REF!</v>
      </c>
      <c r="CF2" t="e">
        <f>#REF!</f>
        <v>#REF!</v>
      </c>
      <c r="CG2" t="e">
        <f>#REF!</f>
        <v>#REF!</v>
      </c>
      <c r="CH2" t="e">
        <f>#REF!</f>
        <v>#REF!</v>
      </c>
      <c r="CI2" t="e">
        <f>#REF!</f>
        <v>#REF!</v>
      </c>
      <c r="CJ2" s="136" t="e">
        <f>#REF!</f>
        <v>#REF!</v>
      </c>
      <c r="CK2" s="136" t="e">
        <f>#REF!</f>
        <v>#REF!</v>
      </c>
      <c r="CL2" s="136" t="e">
        <f>#REF!</f>
        <v>#REF!</v>
      </c>
      <c r="CM2" s="136" t="e">
        <f>#REF!</f>
        <v>#REF!</v>
      </c>
      <c r="CN2" s="136" t="e">
        <f>#REF!</f>
        <v>#REF!</v>
      </c>
      <c r="CO2" s="136"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c r="DI2" t="e">
        <f>#REF!</f>
        <v>#REF!</v>
      </c>
      <c r="DJ2" t="e">
        <f>#REF!</f>
        <v>#REF!</v>
      </c>
      <c r="DK2" t="e">
        <f>#REF!</f>
        <v>#REF!</v>
      </c>
      <c r="DL2" t="e">
        <f>#REF!</f>
        <v>#REF!</v>
      </c>
      <c r="DM2" t="e">
        <f>#REF!</f>
        <v>#REF!</v>
      </c>
      <c r="DN2" t="e">
        <f>#REF!</f>
        <v>#REF!</v>
      </c>
      <c r="DO2" t="e">
        <f>#REF!</f>
        <v>#REF!</v>
      </c>
      <c r="DP2" t="e">
        <f>#REF!</f>
        <v>#REF!</v>
      </c>
      <c r="DQ2" t="e">
        <f>#REF!</f>
        <v>#REF!</v>
      </c>
      <c r="DR2" t="e">
        <f>#REF!</f>
        <v>#REF!</v>
      </c>
      <c r="DS2" t="e">
        <f>#REF!</f>
        <v>#REF!</v>
      </c>
      <c r="DT2" t="e">
        <f>#REF!</f>
        <v>#REF!</v>
      </c>
      <c r="DU2" t="e">
        <f>#REF!</f>
        <v>#REF!</v>
      </c>
      <c r="DV2" t="e">
        <f>#REF!</f>
        <v>#REF!</v>
      </c>
      <c r="DW2" t="e">
        <f>#REF!</f>
        <v>#REF!</v>
      </c>
      <c r="DX2" t="e">
        <f>#REF!</f>
        <v>#REF!</v>
      </c>
      <c r="DY2" t="e">
        <f>#REF!</f>
        <v>#REF!</v>
      </c>
      <c r="DZ2" t="e">
        <f>#REF!</f>
        <v>#REF!</v>
      </c>
      <c r="EA2" t="e">
        <f>#REF!</f>
        <v>#REF!</v>
      </c>
      <c r="EB2" t="e">
        <f>#REF!</f>
        <v>#REF!</v>
      </c>
      <c r="EC2" t="e">
        <f>#REF!</f>
        <v>#REF!</v>
      </c>
      <c r="ED2" t="e">
        <f>#REF!</f>
        <v>#REF!</v>
      </c>
      <c r="EE2" t="e">
        <f>#REF!</f>
        <v>#REF!</v>
      </c>
      <c r="EF2" t="e">
        <f>#REF!</f>
        <v>#REF!</v>
      </c>
      <c r="EG2" t="e">
        <f>#REF!</f>
        <v>#REF!</v>
      </c>
      <c r="EH2" t="e">
        <f>#REF!</f>
        <v>#REF!</v>
      </c>
      <c r="EI2" t="e">
        <f>#REF!</f>
        <v>#REF!</v>
      </c>
      <c r="EJ2" t="e">
        <f>#REF!</f>
        <v>#REF!</v>
      </c>
      <c r="EK2" t="e">
        <f>#REF!</f>
        <v>#REF!</v>
      </c>
      <c r="EL2" t="e">
        <f>#REF!</f>
        <v>#REF!</v>
      </c>
      <c r="EM2" t="e">
        <f>#REF!</f>
        <v>#REF!</v>
      </c>
      <c r="EN2" t="e">
        <f>#REF!</f>
        <v>#REF!</v>
      </c>
      <c r="EO2" t="e">
        <f>#REF!</f>
        <v>#REF!</v>
      </c>
      <c r="EP2" t="e">
        <f>#REF!</f>
        <v>#REF!</v>
      </c>
      <c r="EQ2" t="e">
        <f>#REF!</f>
        <v>#REF!</v>
      </c>
      <c r="ER2" t="e">
        <f>#REF!</f>
        <v>#REF!</v>
      </c>
      <c r="ES2" t="e">
        <f>#REF!</f>
        <v>#REF!</v>
      </c>
      <c r="ET2" t="e">
        <f>#REF!</f>
        <v>#REF!</v>
      </c>
      <c r="EU2" t="e">
        <f>#REF!</f>
        <v>#REF!</v>
      </c>
      <c r="EV2" t="e">
        <f>#REF!</f>
        <v>#REF!</v>
      </c>
      <c r="EW2" t="e">
        <f>#REF!</f>
        <v>#REF!</v>
      </c>
      <c r="EX2" t="e">
        <f>#REF!</f>
        <v>#REF!</v>
      </c>
      <c r="EY2" t="e">
        <f>#REF!</f>
        <v>#REF!</v>
      </c>
      <c r="EZ2" t="e">
        <f>#REF!</f>
        <v>#REF!</v>
      </c>
      <c r="FA2" t="e">
        <f>#REF!</f>
        <v>#REF!</v>
      </c>
      <c r="FB2" t="e">
        <f>#REF!</f>
        <v>#REF!</v>
      </c>
      <c r="FC2" t="e">
        <f>#REF!</f>
        <v>#REF!</v>
      </c>
      <c r="FD2" t="e">
        <f>#REF!</f>
        <v>#REF!</v>
      </c>
      <c r="FE2" t="e">
        <f>#REF!</f>
        <v>#REF!</v>
      </c>
      <c r="FF2" t="e">
        <f>#REF!</f>
        <v>#REF!</v>
      </c>
      <c r="FG2" t="e">
        <f>#REF!</f>
        <v>#REF!</v>
      </c>
      <c r="FH2" t="e">
        <f>#REF!</f>
        <v>#REF!</v>
      </c>
      <c r="FI2" t="e">
        <f>#REF!</f>
        <v>#REF!</v>
      </c>
      <c r="FJ2" t="e">
        <f>#REF!</f>
        <v>#REF!</v>
      </c>
      <c r="FK2" t="e">
        <f>#REF!</f>
        <v>#REF!</v>
      </c>
      <c r="FL2" t="e">
        <f>#REF!</f>
        <v>#REF!</v>
      </c>
      <c r="FM2" t="e">
        <f>#REF!</f>
        <v>#REF!</v>
      </c>
      <c r="FN2" t="e">
        <f>#REF!</f>
        <v>#REF!</v>
      </c>
    </row>
    <row r="3" spans="1:170" ht="15" x14ac:dyDescent="0.25">
      <c r="A3" s="619">
        <v>1</v>
      </c>
      <c r="B3" s="133" t="e">
        <f>RIGHT(#REF!,LEN(#REF!)-(FIND("Standards",#REF!,1)+9))</f>
        <v>#REF!</v>
      </c>
      <c r="C3" s="620" t="e">
        <f>#REF!</f>
        <v>#REF!</v>
      </c>
      <c r="D3" s="620">
        <v>72686</v>
      </c>
      <c r="E3" s="621" t="e">
        <f>#REF!</f>
        <v>#REF!</v>
      </c>
      <c r="F3" s="621" t="e">
        <f>#REF!</f>
        <v>#REF!</v>
      </c>
      <c r="G3" s="619" t="e">
        <f>#REF!</f>
        <v>#REF!</v>
      </c>
      <c r="H3" s="619" t="e">
        <f>#REF!</f>
        <v>#REF!</v>
      </c>
      <c r="I3" s="621" t="e">
        <f>#REF!</f>
        <v>#REF!</v>
      </c>
      <c r="J3" s="619" t="e">
        <f>#REF!</f>
        <v>#REF!</v>
      </c>
      <c r="K3" s="621" t="e">
        <f>#REF!</f>
        <v>#REF!</v>
      </c>
      <c r="L3" s="622" t="e">
        <f>#REF!</f>
        <v>#REF!</v>
      </c>
      <c r="M3" s="622" t="e">
        <f>#REF!</f>
        <v>#REF!</v>
      </c>
      <c r="N3" t="e">
        <f>#REF!</f>
        <v>#REF!</v>
      </c>
      <c r="O3" t="e">
        <f>#REF!</f>
        <v>#REF!</v>
      </c>
      <c r="P3" t="e">
        <f>#REF!</f>
        <v>#REF!</v>
      </c>
      <c r="Q3" s="136" t="e">
        <f>#REF!</f>
        <v>#REF!</v>
      </c>
      <c r="R3" s="136" t="e">
        <f>#REF!</f>
        <v>#REF!</v>
      </c>
      <c r="S3" s="136" t="e">
        <f>#REF!</f>
        <v>#REF!</v>
      </c>
      <c r="T3" s="136" t="e">
        <f>#REF!</f>
        <v>#REF!</v>
      </c>
      <c r="U3" s="136" t="e">
        <f>#REF!</f>
        <v>#REF!</v>
      </c>
      <c r="V3" s="136" t="e">
        <f>#REF!</f>
        <v>#REF!</v>
      </c>
      <c r="W3" s="136" t="e">
        <f>#REF!</f>
        <v>#REF!</v>
      </c>
      <c r="X3" s="136" t="e">
        <f>#REF!</f>
        <v>#REF!</v>
      </c>
      <c r="Y3" s="136" t="e">
        <f>#REF!</f>
        <v>#REF!</v>
      </c>
      <c r="Z3" s="136" t="e">
        <f>#REF!</f>
        <v>#REF!</v>
      </c>
      <c r="AA3" s="136" t="e">
        <f>#REF!</f>
        <v>#REF!</v>
      </c>
      <c r="AB3" s="136" t="e">
        <f>#REF!</f>
        <v>#REF!</v>
      </c>
      <c r="AC3" s="136" t="e">
        <f>#REF!</f>
        <v>#REF!</v>
      </c>
      <c r="AD3" s="136" t="e">
        <f>#REF!</f>
        <v>#REF!</v>
      </c>
      <c r="AE3" s="136" t="e">
        <f>#REF!</f>
        <v>#REF!</v>
      </c>
      <c r="AF3" s="136" t="e">
        <f>#REF!</f>
        <v>#REF!</v>
      </c>
      <c r="AG3" s="136" t="e">
        <f>#REF!</f>
        <v>#REF!</v>
      </c>
      <c r="AH3" s="136" t="e">
        <f>#REF!</f>
        <v>#REF!</v>
      </c>
      <c r="AI3" s="136" t="e">
        <f>#REF!</f>
        <v>#REF!</v>
      </c>
      <c r="AJ3" s="136" t="e">
        <f>#REF!</f>
        <v>#REF!</v>
      </c>
      <c r="AK3" s="136" t="e">
        <f>#REF!</f>
        <v>#REF!</v>
      </c>
      <c r="AL3" s="136"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s="137" t="e">
        <f>#REF!</f>
        <v>#REF!</v>
      </c>
      <c r="BO3" s="137" t="e">
        <f>#REF!</f>
        <v>#REF!</v>
      </c>
      <c r="BP3" s="137" t="e">
        <f>#REF!</f>
        <v>#REF!</v>
      </c>
      <c r="BQ3" s="137" t="e">
        <f>#REF!</f>
        <v>#REF!</v>
      </c>
      <c r="BR3" s="137" t="e">
        <f>#REF!</f>
        <v>#REF!</v>
      </c>
      <c r="BS3" s="137" t="e">
        <f>#REF!</f>
        <v>#REF!</v>
      </c>
      <c r="BT3" s="137" t="e">
        <f>#REF!</f>
        <v>#REF!</v>
      </c>
      <c r="BU3" s="137" t="e">
        <f>#REF!</f>
        <v>#REF!</v>
      </c>
      <c r="BV3" s="137" t="e">
        <f>#REF!</f>
        <v>#REF!</v>
      </c>
      <c r="BW3" s="137" t="e">
        <f>#REF!</f>
        <v>#REF!</v>
      </c>
      <c r="BX3" s="137" t="e">
        <f>#REF!</f>
        <v>#REF!</v>
      </c>
      <c r="BY3" s="137" t="e">
        <f>#REF!</f>
        <v>#REF!</v>
      </c>
      <c r="BZ3" s="137" t="e">
        <f>#REF!</f>
        <v>#REF!</v>
      </c>
      <c r="CA3" s="137" t="e">
        <f>#REF!</f>
        <v>#REF!</v>
      </c>
      <c r="CB3" t="e">
        <f>#REF!</f>
        <v>#REF!</v>
      </c>
      <c r="CC3" t="e">
        <f>#REF!</f>
        <v>#REF!</v>
      </c>
      <c r="CD3" t="e">
        <f>#REF!</f>
        <v>#REF!</v>
      </c>
      <c r="CE3" t="e">
        <f>#REF!</f>
        <v>#REF!</v>
      </c>
      <c r="CF3" t="e">
        <f>#REF!</f>
        <v>#REF!</v>
      </c>
      <c r="CG3" t="e">
        <f>#REF!</f>
        <v>#REF!</v>
      </c>
      <c r="CH3" t="e">
        <f>#REF!</f>
        <v>#REF!</v>
      </c>
      <c r="CI3" t="e">
        <f>#REF!</f>
        <v>#REF!</v>
      </c>
      <c r="CJ3" s="136" t="e">
        <f>#REF!</f>
        <v>#REF!</v>
      </c>
      <c r="CK3" s="136" t="e">
        <f>#REF!</f>
        <v>#REF!</v>
      </c>
      <c r="CL3" s="136" t="e">
        <f>#REF!</f>
        <v>#REF!</v>
      </c>
      <c r="CM3" s="136" t="e">
        <f>#REF!</f>
        <v>#REF!</v>
      </c>
      <c r="CN3" s="136" t="e">
        <f>#REF!</f>
        <v>#REF!</v>
      </c>
      <c r="CO3" s="136"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e">
        <f>#REF!</f>
        <v>#REF!</v>
      </c>
      <c r="DC3" t="e">
        <f>#REF!</f>
        <v>#REF!</v>
      </c>
      <c r="DD3" t="e">
        <f>#REF!</f>
        <v>#REF!</v>
      </c>
      <c r="DE3" t="e">
        <f>#REF!</f>
        <v>#REF!</v>
      </c>
      <c r="DF3" t="e">
        <f>#REF!</f>
        <v>#REF!</v>
      </c>
      <c r="DG3" t="e">
        <f>#REF!</f>
        <v>#REF!</v>
      </c>
      <c r="DH3" t="e">
        <f>#REF!</f>
        <v>#REF!</v>
      </c>
      <c r="DI3" t="e">
        <f>#REF!</f>
        <v>#REF!</v>
      </c>
      <c r="DJ3" t="e">
        <f>#REF!</f>
        <v>#REF!</v>
      </c>
      <c r="DK3" t="e">
        <f>#REF!</f>
        <v>#REF!</v>
      </c>
      <c r="DL3" t="e">
        <f>#REF!</f>
        <v>#REF!</v>
      </c>
      <c r="DM3" t="e">
        <f>#REF!</f>
        <v>#REF!</v>
      </c>
      <c r="DN3" t="e">
        <f>#REF!</f>
        <v>#REF!</v>
      </c>
      <c r="DO3" t="e">
        <f>#REF!</f>
        <v>#REF!</v>
      </c>
      <c r="DP3" t="e">
        <f>#REF!</f>
        <v>#REF!</v>
      </c>
      <c r="DQ3" t="e">
        <f>#REF!</f>
        <v>#REF!</v>
      </c>
      <c r="DR3" t="e">
        <f>#REF!</f>
        <v>#REF!</v>
      </c>
      <c r="DS3" t="e">
        <f>#REF!</f>
        <v>#REF!</v>
      </c>
      <c r="DT3" t="e">
        <f>#REF!</f>
        <v>#REF!</v>
      </c>
      <c r="DU3" t="e">
        <f>#REF!</f>
        <v>#REF!</v>
      </c>
      <c r="DV3" t="e">
        <f>#REF!</f>
        <v>#REF!</v>
      </c>
      <c r="DW3" t="e">
        <f>#REF!</f>
        <v>#REF!</v>
      </c>
      <c r="DX3" t="e">
        <f>#REF!</f>
        <v>#REF!</v>
      </c>
      <c r="DY3" t="e">
        <f>#REF!</f>
        <v>#REF!</v>
      </c>
      <c r="DZ3" t="e">
        <f>#REF!</f>
        <v>#REF!</v>
      </c>
      <c r="EA3" t="e">
        <f>#REF!</f>
        <v>#REF!</v>
      </c>
      <c r="EB3" t="e">
        <f>#REF!</f>
        <v>#REF!</v>
      </c>
      <c r="EC3" t="e">
        <f>#REF!</f>
        <v>#REF!</v>
      </c>
      <c r="ED3" t="e">
        <f>#REF!</f>
        <v>#REF!</v>
      </c>
      <c r="EE3" t="e">
        <f>#REF!</f>
        <v>#REF!</v>
      </c>
      <c r="EF3" t="e">
        <f>#REF!</f>
        <v>#REF!</v>
      </c>
      <c r="EG3" t="e">
        <f>#REF!</f>
        <v>#REF!</v>
      </c>
      <c r="EH3" t="e">
        <f>#REF!</f>
        <v>#REF!</v>
      </c>
      <c r="EI3" t="e">
        <f>#REF!</f>
        <v>#REF!</v>
      </c>
      <c r="EJ3" t="e">
        <f>#REF!</f>
        <v>#REF!</v>
      </c>
      <c r="EK3" t="e">
        <f>#REF!</f>
        <v>#REF!</v>
      </c>
      <c r="EL3" t="e">
        <f>#REF!</f>
        <v>#REF!</v>
      </c>
      <c r="EM3" t="e">
        <f>#REF!</f>
        <v>#REF!</v>
      </c>
      <c r="EN3" t="e">
        <f>#REF!</f>
        <v>#REF!</v>
      </c>
      <c r="EO3" t="e">
        <f>#REF!</f>
        <v>#REF!</v>
      </c>
      <c r="EP3" t="e">
        <f>#REF!</f>
        <v>#REF!</v>
      </c>
      <c r="EQ3" t="e">
        <f>#REF!</f>
        <v>#REF!</v>
      </c>
      <c r="ER3" t="e">
        <f>#REF!</f>
        <v>#REF!</v>
      </c>
      <c r="ES3" t="e">
        <f>#REF!</f>
        <v>#REF!</v>
      </c>
      <c r="ET3" t="e">
        <f>#REF!</f>
        <v>#REF!</v>
      </c>
      <c r="EU3" t="e">
        <f>#REF!</f>
        <v>#REF!</v>
      </c>
      <c r="EV3" t="e">
        <f>#REF!</f>
        <v>#REF!</v>
      </c>
      <c r="EW3" t="e">
        <f>#REF!</f>
        <v>#REF!</v>
      </c>
      <c r="EX3" t="e">
        <f>#REF!</f>
        <v>#REF!</v>
      </c>
      <c r="EY3" t="e">
        <f>#REF!</f>
        <v>#REF!</v>
      </c>
      <c r="EZ3" t="e">
        <f>#REF!</f>
        <v>#REF!</v>
      </c>
      <c r="FA3" t="e">
        <f>#REF!</f>
        <v>#REF!</v>
      </c>
      <c r="FB3" t="e">
        <f>#REF!</f>
        <v>#REF!</v>
      </c>
      <c r="FC3" t="e">
        <f>#REF!</f>
        <v>#REF!</v>
      </c>
      <c r="FD3" t="e">
        <f>#REF!</f>
        <v>#REF!</v>
      </c>
      <c r="FE3" t="e">
        <f>#REF!</f>
        <v>#REF!</v>
      </c>
      <c r="FF3" t="e">
        <f>#REF!</f>
        <v>#REF!</v>
      </c>
      <c r="FG3" t="e">
        <f>#REF!</f>
        <v>#REF!</v>
      </c>
      <c r="FH3" t="e">
        <f>#REF!</f>
        <v>#REF!</v>
      </c>
      <c r="FI3" t="e">
        <f>#REF!</f>
        <v>#REF!</v>
      </c>
      <c r="FJ3" t="e">
        <f>#REF!</f>
        <v>#REF!</v>
      </c>
      <c r="FK3" t="e">
        <f>#REF!</f>
        <v>#REF!</v>
      </c>
      <c r="FL3" t="e">
        <f>#REF!</f>
        <v>#REF!</v>
      </c>
      <c r="FM3" t="e">
        <f>#REF!</f>
        <v>#REF!</v>
      </c>
      <c r="FN3" t="e">
        <f>#REF!</f>
        <v>#REF!</v>
      </c>
    </row>
    <row r="4" spans="1:170" ht="15" x14ac:dyDescent="0.25">
      <c r="A4" s="619">
        <v>1</v>
      </c>
      <c r="B4" s="133" t="e">
        <f>RIGHT(#REF!,LEN(#REF!)-(FIND("Standards",#REF!,1)+9))</f>
        <v>#REF!</v>
      </c>
      <c r="C4" s="620" t="e">
        <f>#REF!</f>
        <v>#REF!</v>
      </c>
      <c r="D4" s="620">
        <v>72686</v>
      </c>
      <c r="E4" s="621" t="e">
        <f>#REF!</f>
        <v>#REF!</v>
      </c>
      <c r="F4" s="621" t="e">
        <f>#REF!</f>
        <v>#REF!</v>
      </c>
      <c r="G4" s="619" t="e">
        <f>#REF!</f>
        <v>#REF!</v>
      </c>
      <c r="H4" s="619" t="e">
        <f>#REF!</f>
        <v>#REF!</v>
      </c>
      <c r="I4" s="621" t="e">
        <f>#REF!</f>
        <v>#REF!</v>
      </c>
      <c r="J4" s="619" t="e">
        <f>#REF!</f>
        <v>#REF!</v>
      </c>
      <c r="K4" s="621" t="e">
        <f>#REF!</f>
        <v>#REF!</v>
      </c>
      <c r="L4" s="622" t="e">
        <f>#REF!</f>
        <v>#REF!</v>
      </c>
      <c r="M4" s="622" t="e">
        <f>#REF!</f>
        <v>#REF!</v>
      </c>
      <c r="N4" t="e">
        <f>#REF!</f>
        <v>#REF!</v>
      </c>
      <c r="O4" t="e">
        <f>#REF!</f>
        <v>#REF!</v>
      </c>
      <c r="P4" t="e">
        <f>#REF!</f>
        <v>#REF!</v>
      </c>
      <c r="Q4" s="136" t="e">
        <f>#REF!</f>
        <v>#REF!</v>
      </c>
      <c r="R4" s="136" t="e">
        <f>#REF!</f>
        <v>#REF!</v>
      </c>
      <c r="S4" s="136" t="e">
        <f>#REF!</f>
        <v>#REF!</v>
      </c>
      <c r="T4" s="136" t="e">
        <f>#REF!</f>
        <v>#REF!</v>
      </c>
      <c r="U4" s="136" t="e">
        <f>#REF!</f>
        <v>#REF!</v>
      </c>
      <c r="V4" s="136" t="e">
        <f>#REF!</f>
        <v>#REF!</v>
      </c>
      <c r="W4" s="136" t="e">
        <f>#REF!</f>
        <v>#REF!</v>
      </c>
      <c r="X4" s="136" t="e">
        <f>#REF!</f>
        <v>#REF!</v>
      </c>
      <c r="Y4" s="136" t="e">
        <f>#REF!</f>
        <v>#REF!</v>
      </c>
      <c r="Z4" s="136" t="e">
        <f>#REF!</f>
        <v>#REF!</v>
      </c>
      <c r="AA4" s="136" t="e">
        <f>#REF!</f>
        <v>#REF!</v>
      </c>
      <c r="AB4" s="136" t="e">
        <f>#REF!</f>
        <v>#REF!</v>
      </c>
      <c r="AC4" s="136" t="e">
        <f>#REF!</f>
        <v>#REF!</v>
      </c>
      <c r="AD4" s="136" t="e">
        <f>#REF!</f>
        <v>#REF!</v>
      </c>
      <c r="AE4" s="136" t="e">
        <f>#REF!</f>
        <v>#REF!</v>
      </c>
      <c r="AF4" s="136" t="e">
        <f>#REF!</f>
        <v>#REF!</v>
      </c>
      <c r="AG4" s="136" t="e">
        <f>#REF!</f>
        <v>#REF!</v>
      </c>
      <c r="AH4" s="136" t="e">
        <f>#REF!</f>
        <v>#REF!</v>
      </c>
      <c r="AI4" s="136" t="e">
        <f>#REF!</f>
        <v>#REF!</v>
      </c>
      <c r="AJ4" s="136" t="e">
        <f>#REF!</f>
        <v>#REF!</v>
      </c>
      <c r="AK4" s="136" t="e">
        <f>#REF!</f>
        <v>#REF!</v>
      </c>
      <c r="AL4" s="136"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s="137" t="e">
        <f>#REF!</f>
        <v>#REF!</v>
      </c>
      <c r="BO4" s="137" t="e">
        <f>#REF!</f>
        <v>#REF!</v>
      </c>
      <c r="BP4" s="137" t="e">
        <f>#REF!</f>
        <v>#REF!</v>
      </c>
      <c r="BQ4" s="137" t="e">
        <f>#REF!</f>
        <v>#REF!</v>
      </c>
      <c r="BR4" s="137" t="e">
        <f>#REF!</f>
        <v>#REF!</v>
      </c>
      <c r="BS4" s="137" t="e">
        <f>#REF!</f>
        <v>#REF!</v>
      </c>
      <c r="BT4" s="137" t="e">
        <f>#REF!</f>
        <v>#REF!</v>
      </c>
      <c r="BU4" s="137" t="e">
        <f>#REF!</f>
        <v>#REF!</v>
      </c>
      <c r="BV4" s="137" t="e">
        <f>#REF!</f>
        <v>#REF!</v>
      </c>
      <c r="BW4" s="137" t="e">
        <f>#REF!</f>
        <v>#REF!</v>
      </c>
      <c r="BX4" s="137" t="e">
        <f>#REF!</f>
        <v>#REF!</v>
      </c>
      <c r="BY4" s="137" t="e">
        <f>#REF!</f>
        <v>#REF!</v>
      </c>
      <c r="BZ4" s="137" t="e">
        <f>#REF!</f>
        <v>#REF!</v>
      </c>
      <c r="CA4" s="137" t="e">
        <f>#REF!</f>
        <v>#REF!</v>
      </c>
      <c r="CB4" t="e">
        <f>#REF!</f>
        <v>#REF!</v>
      </c>
      <c r="CC4" t="e">
        <f>#REF!</f>
        <v>#REF!</v>
      </c>
      <c r="CD4" t="e">
        <f>#REF!</f>
        <v>#REF!</v>
      </c>
      <c r="CE4" t="e">
        <f>#REF!</f>
        <v>#REF!</v>
      </c>
      <c r="CF4" t="e">
        <f>#REF!</f>
        <v>#REF!</v>
      </c>
      <c r="CG4" t="e">
        <f>#REF!</f>
        <v>#REF!</v>
      </c>
      <c r="CH4" t="e">
        <f>#REF!</f>
        <v>#REF!</v>
      </c>
      <c r="CI4" t="e">
        <f>#REF!</f>
        <v>#REF!</v>
      </c>
      <c r="CJ4" s="136" t="e">
        <f>#REF!</f>
        <v>#REF!</v>
      </c>
      <c r="CK4" s="136" t="e">
        <f>#REF!</f>
        <v>#REF!</v>
      </c>
      <c r="CL4" s="136" t="e">
        <f>#REF!</f>
        <v>#REF!</v>
      </c>
      <c r="CM4" s="136" t="e">
        <f>#REF!</f>
        <v>#REF!</v>
      </c>
      <c r="CN4" s="136" t="e">
        <f>#REF!</f>
        <v>#REF!</v>
      </c>
      <c r="CO4" s="136" t="e">
        <f>#REF!</f>
        <v>#REF!</v>
      </c>
      <c r="CP4" t="e">
        <f>#REF!</f>
        <v>#REF!</v>
      </c>
      <c r="CQ4" t="e">
        <f>#REF!</f>
        <v>#REF!</v>
      </c>
      <c r="CR4" t="e">
        <f>#REF!</f>
        <v>#REF!</v>
      </c>
      <c r="CS4" t="e">
        <f>#REF!</f>
        <v>#REF!</v>
      </c>
      <c r="CT4" t="e">
        <f>#REF!</f>
        <v>#REF!</v>
      </c>
      <c r="CU4" t="e">
        <f>#REF!</f>
        <v>#REF!</v>
      </c>
      <c r="CV4" t="e">
        <f>#REF!</f>
        <v>#REF!</v>
      </c>
      <c r="CW4" t="e">
        <f>#REF!</f>
        <v>#REF!</v>
      </c>
      <c r="CX4" t="e">
        <f>#REF!</f>
        <v>#REF!</v>
      </c>
      <c r="CY4" t="e">
        <f>#REF!</f>
        <v>#REF!</v>
      </c>
      <c r="CZ4" t="e">
        <f>#REF!</f>
        <v>#REF!</v>
      </c>
      <c r="DA4" t="e">
        <f>#REF!</f>
        <v>#REF!</v>
      </c>
      <c r="DB4" t="e">
        <f>#REF!</f>
        <v>#REF!</v>
      </c>
      <c r="DC4" t="e">
        <f>#REF!</f>
        <v>#REF!</v>
      </c>
      <c r="DD4" t="e">
        <f>#REF!</f>
        <v>#REF!</v>
      </c>
      <c r="DE4" t="e">
        <f>#REF!</f>
        <v>#REF!</v>
      </c>
      <c r="DF4" t="e">
        <f>#REF!</f>
        <v>#REF!</v>
      </c>
      <c r="DG4" t="e">
        <f>#REF!</f>
        <v>#REF!</v>
      </c>
      <c r="DH4" t="e">
        <f>#REF!</f>
        <v>#REF!</v>
      </c>
      <c r="DI4" t="e">
        <f>#REF!</f>
        <v>#REF!</v>
      </c>
      <c r="DJ4" t="e">
        <f>#REF!</f>
        <v>#REF!</v>
      </c>
      <c r="DK4" t="e">
        <f>#REF!</f>
        <v>#REF!</v>
      </c>
      <c r="DL4" t="e">
        <f>#REF!</f>
        <v>#REF!</v>
      </c>
      <c r="DM4" t="e">
        <f>#REF!</f>
        <v>#REF!</v>
      </c>
      <c r="DN4" t="e">
        <f>#REF!</f>
        <v>#REF!</v>
      </c>
      <c r="DO4" t="e">
        <f>#REF!</f>
        <v>#REF!</v>
      </c>
      <c r="DP4" t="e">
        <f>#REF!</f>
        <v>#REF!</v>
      </c>
      <c r="DQ4" t="e">
        <f>#REF!</f>
        <v>#REF!</v>
      </c>
      <c r="DR4" t="e">
        <f>#REF!</f>
        <v>#REF!</v>
      </c>
      <c r="DS4" t="e">
        <f>#REF!</f>
        <v>#REF!</v>
      </c>
      <c r="DT4" t="e">
        <f>#REF!</f>
        <v>#REF!</v>
      </c>
      <c r="DU4" t="e">
        <f>#REF!</f>
        <v>#REF!</v>
      </c>
      <c r="DV4" t="e">
        <f>#REF!</f>
        <v>#REF!</v>
      </c>
      <c r="DW4" t="e">
        <f>#REF!</f>
        <v>#REF!</v>
      </c>
      <c r="DX4" t="e">
        <f>#REF!</f>
        <v>#REF!</v>
      </c>
      <c r="DY4" t="e">
        <f>#REF!</f>
        <v>#REF!</v>
      </c>
      <c r="DZ4" t="e">
        <f>#REF!</f>
        <v>#REF!</v>
      </c>
      <c r="EA4" t="e">
        <f>#REF!</f>
        <v>#REF!</v>
      </c>
      <c r="EB4" t="e">
        <f>#REF!</f>
        <v>#REF!</v>
      </c>
      <c r="EC4" t="e">
        <f>#REF!</f>
        <v>#REF!</v>
      </c>
      <c r="ED4" t="e">
        <f>#REF!</f>
        <v>#REF!</v>
      </c>
      <c r="EE4" t="e">
        <f>#REF!</f>
        <v>#REF!</v>
      </c>
      <c r="EF4" t="e">
        <f>#REF!</f>
        <v>#REF!</v>
      </c>
      <c r="EG4" t="e">
        <f>#REF!</f>
        <v>#REF!</v>
      </c>
      <c r="EH4" t="e">
        <f>#REF!</f>
        <v>#REF!</v>
      </c>
      <c r="EI4" t="e">
        <f>#REF!</f>
        <v>#REF!</v>
      </c>
      <c r="EJ4" t="e">
        <f>#REF!</f>
        <v>#REF!</v>
      </c>
      <c r="EK4" t="e">
        <f>#REF!</f>
        <v>#REF!</v>
      </c>
      <c r="EL4" t="e">
        <f>#REF!</f>
        <v>#REF!</v>
      </c>
      <c r="EM4" t="e">
        <f>#REF!</f>
        <v>#REF!</v>
      </c>
      <c r="EN4" t="e">
        <f>#REF!</f>
        <v>#REF!</v>
      </c>
      <c r="EO4" t="e">
        <f>#REF!</f>
        <v>#REF!</v>
      </c>
      <c r="EP4" t="e">
        <f>#REF!</f>
        <v>#REF!</v>
      </c>
      <c r="EQ4" t="e">
        <f>#REF!</f>
        <v>#REF!</v>
      </c>
      <c r="ER4" t="e">
        <f>#REF!</f>
        <v>#REF!</v>
      </c>
      <c r="ES4" t="e">
        <f>#REF!</f>
        <v>#REF!</v>
      </c>
      <c r="ET4" t="e">
        <f>#REF!</f>
        <v>#REF!</v>
      </c>
      <c r="EU4" t="e">
        <f>#REF!</f>
        <v>#REF!</v>
      </c>
      <c r="EV4" t="e">
        <f>#REF!</f>
        <v>#REF!</v>
      </c>
      <c r="EW4" t="e">
        <f>#REF!</f>
        <v>#REF!</v>
      </c>
      <c r="EX4" t="e">
        <f>#REF!</f>
        <v>#REF!</v>
      </c>
      <c r="EY4" t="e">
        <f>#REF!</f>
        <v>#REF!</v>
      </c>
      <c r="EZ4" t="e">
        <f>#REF!</f>
        <v>#REF!</v>
      </c>
      <c r="FA4" t="e">
        <f>#REF!</f>
        <v>#REF!</v>
      </c>
      <c r="FB4" t="e">
        <f>#REF!</f>
        <v>#REF!</v>
      </c>
      <c r="FC4" t="e">
        <f>#REF!</f>
        <v>#REF!</v>
      </c>
      <c r="FD4" t="e">
        <f>#REF!</f>
        <v>#REF!</v>
      </c>
      <c r="FE4" t="e">
        <f>#REF!</f>
        <v>#REF!</v>
      </c>
      <c r="FF4" t="e">
        <f>#REF!</f>
        <v>#REF!</v>
      </c>
      <c r="FG4" t="e">
        <f>#REF!</f>
        <v>#REF!</v>
      </c>
      <c r="FH4" t="e">
        <f>#REF!</f>
        <v>#REF!</v>
      </c>
      <c r="FI4" t="e">
        <f>#REF!</f>
        <v>#REF!</v>
      </c>
      <c r="FJ4" t="e">
        <f>#REF!</f>
        <v>#REF!</v>
      </c>
      <c r="FK4" t="e">
        <f>#REF!</f>
        <v>#REF!</v>
      </c>
      <c r="FL4" t="e">
        <f>#REF!</f>
        <v>#REF!</v>
      </c>
      <c r="FM4" t="e">
        <f>#REF!</f>
        <v>#REF!</v>
      </c>
      <c r="FN4" t="e">
        <f>#REF!</f>
        <v>#REF!</v>
      </c>
    </row>
    <row r="5" spans="1:170" ht="15" x14ac:dyDescent="0.25">
      <c r="A5" s="619">
        <v>1</v>
      </c>
      <c r="B5" s="133" t="e">
        <f>RIGHT(#REF!,LEN(#REF!)-(FIND("Standards",#REF!,1)+9))</f>
        <v>#REF!</v>
      </c>
      <c r="C5" s="620" t="e">
        <f>#REF!</f>
        <v>#REF!</v>
      </c>
      <c r="D5" s="620">
        <v>72686</v>
      </c>
      <c r="E5" s="621" t="e">
        <f>#REF!</f>
        <v>#REF!</v>
      </c>
      <c r="F5" s="621" t="e">
        <f>#REF!</f>
        <v>#REF!</v>
      </c>
      <c r="G5" s="619" t="e">
        <f>#REF!</f>
        <v>#REF!</v>
      </c>
      <c r="H5" s="619" t="e">
        <f>#REF!</f>
        <v>#REF!</v>
      </c>
      <c r="I5" s="621" t="e">
        <f>#REF!</f>
        <v>#REF!</v>
      </c>
      <c r="J5" s="619" t="e">
        <f>#REF!</f>
        <v>#REF!</v>
      </c>
      <c r="K5" s="621" t="e">
        <f>#REF!</f>
        <v>#REF!</v>
      </c>
      <c r="L5" s="622" t="e">
        <f>#REF!</f>
        <v>#REF!</v>
      </c>
      <c r="M5" s="622" t="e">
        <f>#REF!</f>
        <v>#REF!</v>
      </c>
      <c r="N5" t="e">
        <f>#REF!</f>
        <v>#REF!</v>
      </c>
      <c r="O5" t="e">
        <f>#REF!</f>
        <v>#REF!</v>
      </c>
      <c r="P5" t="e">
        <f>#REF!</f>
        <v>#REF!</v>
      </c>
      <c r="Q5" s="136" t="e">
        <f>#REF!</f>
        <v>#REF!</v>
      </c>
      <c r="R5" s="136" t="e">
        <f>#REF!</f>
        <v>#REF!</v>
      </c>
      <c r="S5" s="136" t="e">
        <f>#REF!</f>
        <v>#REF!</v>
      </c>
      <c r="T5" s="136" t="e">
        <f>#REF!</f>
        <v>#REF!</v>
      </c>
      <c r="U5" s="136" t="e">
        <f>#REF!</f>
        <v>#REF!</v>
      </c>
      <c r="V5" s="136" t="e">
        <f>#REF!</f>
        <v>#REF!</v>
      </c>
      <c r="W5" s="136" t="e">
        <f>#REF!</f>
        <v>#REF!</v>
      </c>
      <c r="X5" s="136" t="e">
        <f>#REF!</f>
        <v>#REF!</v>
      </c>
      <c r="Y5" s="136" t="e">
        <f>#REF!</f>
        <v>#REF!</v>
      </c>
      <c r="Z5" s="136" t="e">
        <f>#REF!</f>
        <v>#REF!</v>
      </c>
      <c r="AA5" s="136" t="e">
        <f>#REF!</f>
        <v>#REF!</v>
      </c>
      <c r="AB5" s="136" t="e">
        <f>#REF!</f>
        <v>#REF!</v>
      </c>
      <c r="AC5" s="136" t="e">
        <f>#REF!</f>
        <v>#REF!</v>
      </c>
      <c r="AD5" s="136" t="e">
        <f>#REF!</f>
        <v>#REF!</v>
      </c>
      <c r="AE5" s="136" t="e">
        <f>#REF!</f>
        <v>#REF!</v>
      </c>
      <c r="AF5" s="136" t="e">
        <f>#REF!</f>
        <v>#REF!</v>
      </c>
      <c r="AG5" s="136" t="e">
        <f>#REF!</f>
        <v>#REF!</v>
      </c>
      <c r="AH5" s="136" t="e">
        <f>#REF!</f>
        <v>#REF!</v>
      </c>
      <c r="AI5" s="136" t="e">
        <f>#REF!</f>
        <v>#REF!</v>
      </c>
      <c r="AJ5" s="136" t="e">
        <f>#REF!</f>
        <v>#REF!</v>
      </c>
      <c r="AK5" s="136" t="e">
        <f>#REF!</f>
        <v>#REF!</v>
      </c>
      <c r="AL5" s="136"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s="137" t="e">
        <f>#REF!</f>
        <v>#REF!</v>
      </c>
      <c r="BO5" s="137" t="e">
        <f>#REF!</f>
        <v>#REF!</v>
      </c>
      <c r="BP5" s="137" t="e">
        <f>#REF!</f>
        <v>#REF!</v>
      </c>
      <c r="BQ5" s="137" t="e">
        <f>#REF!</f>
        <v>#REF!</v>
      </c>
      <c r="BR5" s="137" t="e">
        <f>#REF!</f>
        <v>#REF!</v>
      </c>
      <c r="BS5" s="137" t="e">
        <f>#REF!</f>
        <v>#REF!</v>
      </c>
      <c r="BT5" s="137" t="e">
        <f>#REF!</f>
        <v>#REF!</v>
      </c>
      <c r="BU5" s="137" t="e">
        <f>#REF!</f>
        <v>#REF!</v>
      </c>
      <c r="BV5" s="137" t="e">
        <f>#REF!</f>
        <v>#REF!</v>
      </c>
      <c r="BW5" s="137" t="e">
        <f>#REF!</f>
        <v>#REF!</v>
      </c>
      <c r="BX5" s="137" t="e">
        <f>#REF!</f>
        <v>#REF!</v>
      </c>
      <c r="BY5" s="137" t="e">
        <f>#REF!</f>
        <v>#REF!</v>
      </c>
      <c r="BZ5" s="137" t="e">
        <f>#REF!</f>
        <v>#REF!</v>
      </c>
      <c r="CA5" s="137" t="e">
        <f>#REF!</f>
        <v>#REF!</v>
      </c>
      <c r="CB5" t="e">
        <f>#REF!</f>
        <v>#REF!</v>
      </c>
      <c r="CC5" t="e">
        <f>#REF!</f>
        <v>#REF!</v>
      </c>
      <c r="CD5" t="e">
        <f>#REF!</f>
        <v>#REF!</v>
      </c>
      <c r="CE5" t="e">
        <f>#REF!</f>
        <v>#REF!</v>
      </c>
      <c r="CF5" t="e">
        <f>#REF!</f>
        <v>#REF!</v>
      </c>
      <c r="CG5" t="e">
        <f>#REF!</f>
        <v>#REF!</v>
      </c>
      <c r="CH5" t="e">
        <f>#REF!</f>
        <v>#REF!</v>
      </c>
      <c r="CI5" t="e">
        <f>#REF!</f>
        <v>#REF!</v>
      </c>
      <c r="CJ5" s="136" t="e">
        <f>#REF!</f>
        <v>#REF!</v>
      </c>
      <c r="CK5" s="136" t="e">
        <f>#REF!</f>
        <v>#REF!</v>
      </c>
      <c r="CL5" s="136" t="e">
        <f>#REF!</f>
        <v>#REF!</v>
      </c>
      <c r="CM5" s="136" t="e">
        <f>#REF!</f>
        <v>#REF!</v>
      </c>
      <c r="CN5" s="136" t="e">
        <f>#REF!</f>
        <v>#REF!</v>
      </c>
      <c r="CO5" s="136" t="e">
        <f>#REF!</f>
        <v>#REF!</v>
      </c>
      <c r="CP5" t="e">
        <f>#REF!</f>
        <v>#REF!</v>
      </c>
      <c r="CQ5" t="e">
        <f>#REF!</f>
        <v>#REF!</v>
      </c>
      <c r="CR5" t="e">
        <f>#REF!</f>
        <v>#REF!</v>
      </c>
      <c r="CS5" t="e">
        <f>#REF!</f>
        <v>#REF!</v>
      </c>
      <c r="CT5" t="e">
        <f>#REF!</f>
        <v>#REF!</v>
      </c>
      <c r="CU5" t="e">
        <f>#REF!</f>
        <v>#REF!</v>
      </c>
      <c r="CV5" t="e">
        <f>#REF!</f>
        <v>#REF!</v>
      </c>
      <c r="CW5" t="e">
        <f>#REF!</f>
        <v>#REF!</v>
      </c>
      <c r="CX5" t="e">
        <f>#REF!</f>
        <v>#REF!</v>
      </c>
      <c r="CY5" t="e">
        <f>#REF!</f>
        <v>#REF!</v>
      </c>
      <c r="CZ5" t="e">
        <f>#REF!</f>
        <v>#REF!</v>
      </c>
      <c r="DA5" t="e">
        <f>#REF!</f>
        <v>#REF!</v>
      </c>
      <c r="DB5" t="e">
        <f>#REF!</f>
        <v>#REF!</v>
      </c>
      <c r="DC5" t="e">
        <f>#REF!</f>
        <v>#REF!</v>
      </c>
      <c r="DD5" t="e">
        <f>#REF!</f>
        <v>#REF!</v>
      </c>
      <c r="DE5" t="e">
        <f>#REF!</f>
        <v>#REF!</v>
      </c>
      <c r="DF5" t="e">
        <f>#REF!</f>
        <v>#REF!</v>
      </c>
      <c r="DG5" t="e">
        <f>#REF!</f>
        <v>#REF!</v>
      </c>
      <c r="DH5" t="e">
        <f>#REF!</f>
        <v>#REF!</v>
      </c>
      <c r="DI5" t="e">
        <f>#REF!</f>
        <v>#REF!</v>
      </c>
      <c r="DJ5" t="e">
        <f>#REF!</f>
        <v>#REF!</v>
      </c>
      <c r="DK5" t="e">
        <f>#REF!</f>
        <v>#REF!</v>
      </c>
      <c r="DL5" t="e">
        <f>#REF!</f>
        <v>#REF!</v>
      </c>
      <c r="DM5" t="e">
        <f>#REF!</f>
        <v>#REF!</v>
      </c>
      <c r="DN5" t="e">
        <f>#REF!</f>
        <v>#REF!</v>
      </c>
      <c r="DO5" t="e">
        <f>#REF!</f>
        <v>#REF!</v>
      </c>
      <c r="DP5" t="e">
        <f>#REF!</f>
        <v>#REF!</v>
      </c>
      <c r="DQ5" t="e">
        <f>#REF!</f>
        <v>#REF!</v>
      </c>
      <c r="DR5" t="e">
        <f>#REF!</f>
        <v>#REF!</v>
      </c>
      <c r="DS5" t="e">
        <f>#REF!</f>
        <v>#REF!</v>
      </c>
      <c r="DT5" t="e">
        <f>#REF!</f>
        <v>#REF!</v>
      </c>
      <c r="DU5" t="e">
        <f>#REF!</f>
        <v>#REF!</v>
      </c>
      <c r="DV5" t="e">
        <f>#REF!</f>
        <v>#REF!</v>
      </c>
      <c r="DW5" t="e">
        <f>#REF!</f>
        <v>#REF!</v>
      </c>
      <c r="DX5" t="e">
        <f>#REF!</f>
        <v>#REF!</v>
      </c>
      <c r="DY5" t="e">
        <f>#REF!</f>
        <v>#REF!</v>
      </c>
      <c r="DZ5" t="e">
        <f>#REF!</f>
        <v>#REF!</v>
      </c>
      <c r="EA5" t="e">
        <f>#REF!</f>
        <v>#REF!</v>
      </c>
      <c r="EB5" t="e">
        <f>#REF!</f>
        <v>#REF!</v>
      </c>
      <c r="EC5" t="e">
        <f>#REF!</f>
        <v>#REF!</v>
      </c>
      <c r="ED5" t="e">
        <f>#REF!</f>
        <v>#REF!</v>
      </c>
      <c r="EE5" t="e">
        <f>#REF!</f>
        <v>#REF!</v>
      </c>
      <c r="EF5" t="e">
        <f>#REF!</f>
        <v>#REF!</v>
      </c>
      <c r="EG5" t="e">
        <f>#REF!</f>
        <v>#REF!</v>
      </c>
      <c r="EH5" t="e">
        <f>#REF!</f>
        <v>#REF!</v>
      </c>
      <c r="EI5" t="e">
        <f>#REF!</f>
        <v>#REF!</v>
      </c>
      <c r="EJ5" t="e">
        <f>#REF!</f>
        <v>#REF!</v>
      </c>
      <c r="EK5" t="e">
        <f>#REF!</f>
        <v>#REF!</v>
      </c>
      <c r="EL5" t="e">
        <f>#REF!</f>
        <v>#REF!</v>
      </c>
      <c r="EM5" t="e">
        <f>#REF!</f>
        <v>#REF!</v>
      </c>
      <c r="EN5" t="e">
        <f>#REF!</f>
        <v>#REF!</v>
      </c>
      <c r="EO5" t="e">
        <f>#REF!</f>
        <v>#REF!</v>
      </c>
      <c r="EP5" t="e">
        <f>#REF!</f>
        <v>#REF!</v>
      </c>
      <c r="EQ5" t="e">
        <f>#REF!</f>
        <v>#REF!</v>
      </c>
      <c r="ER5" t="e">
        <f>#REF!</f>
        <v>#REF!</v>
      </c>
      <c r="ES5" t="e">
        <f>#REF!</f>
        <v>#REF!</v>
      </c>
      <c r="ET5" t="e">
        <f>#REF!</f>
        <v>#REF!</v>
      </c>
      <c r="EU5" t="e">
        <f>#REF!</f>
        <v>#REF!</v>
      </c>
      <c r="EV5" t="e">
        <f>#REF!</f>
        <v>#REF!</v>
      </c>
      <c r="EW5" t="e">
        <f>#REF!</f>
        <v>#REF!</v>
      </c>
      <c r="EX5" t="e">
        <f>#REF!</f>
        <v>#REF!</v>
      </c>
      <c r="EY5" t="e">
        <f>#REF!</f>
        <v>#REF!</v>
      </c>
      <c r="EZ5" t="e">
        <f>#REF!</f>
        <v>#REF!</v>
      </c>
      <c r="FA5" t="e">
        <f>#REF!</f>
        <v>#REF!</v>
      </c>
      <c r="FB5" t="e">
        <f>#REF!</f>
        <v>#REF!</v>
      </c>
      <c r="FC5" t="e">
        <f>#REF!</f>
        <v>#REF!</v>
      </c>
      <c r="FD5" t="e">
        <f>#REF!</f>
        <v>#REF!</v>
      </c>
      <c r="FE5" t="e">
        <f>#REF!</f>
        <v>#REF!</v>
      </c>
      <c r="FF5" t="e">
        <f>#REF!</f>
        <v>#REF!</v>
      </c>
      <c r="FG5" t="e">
        <f>#REF!</f>
        <v>#REF!</v>
      </c>
      <c r="FH5" t="e">
        <f>#REF!</f>
        <v>#REF!</v>
      </c>
      <c r="FI5" t="e">
        <f>#REF!</f>
        <v>#REF!</v>
      </c>
      <c r="FJ5" t="e">
        <f>#REF!</f>
        <v>#REF!</v>
      </c>
      <c r="FK5" t="e">
        <f>#REF!</f>
        <v>#REF!</v>
      </c>
      <c r="FL5" t="e">
        <f>#REF!</f>
        <v>#REF!</v>
      </c>
      <c r="FM5" t="e">
        <f>#REF!</f>
        <v>#REF!</v>
      </c>
      <c r="FN5" t="e">
        <f>#REF!</f>
        <v>#REF!</v>
      </c>
    </row>
    <row r="6" spans="1:170" ht="15" x14ac:dyDescent="0.25">
      <c r="A6" s="619">
        <v>1</v>
      </c>
      <c r="B6" s="133" t="e">
        <f>RIGHT(#REF!,LEN(#REF!)-(FIND("Standards",#REF!,1)+9))</f>
        <v>#REF!</v>
      </c>
      <c r="C6" s="620" t="e">
        <f>#REF!</f>
        <v>#REF!</v>
      </c>
      <c r="D6" s="620">
        <v>72686</v>
      </c>
      <c r="E6" s="621" t="e">
        <f>#REF!</f>
        <v>#REF!</v>
      </c>
      <c r="F6" s="621" t="e">
        <f>#REF!</f>
        <v>#REF!</v>
      </c>
      <c r="G6" s="619" t="e">
        <f>#REF!</f>
        <v>#REF!</v>
      </c>
      <c r="H6" s="619" t="e">
        <f>#REF!</f>
        <v>#REF!</v>
      </c>
      <c r="I6" s="621" t="e">
        <f>#REF!</f>
        <v>#REF!</v>
      </c>
      <c r="J6" s="619" t="e">
        <f>#REF!</f>
        <v>#REF!</v>
      </c>
      <c r="K6" s="621" t="e">
        <f>#REF!</f>
        <v>#REF!</v>
      </c>
      <c r="L6" s="622" t="e">
        <f>#REF!</f>
        <v>#REF!</v>
      </c>
      <c r="M6" s="622" t="e">
        <f>#REF!</f>
        <v>#REF!</v>
      </c>
      <c r="N6" t="e">
        <f>#REF!</f>
        <v>#REF!</v>
      </c>
      <c r="O6" t="e">
        <f>#REF!</f>
        <v>#REF!</v>
      </c>
      <c r="P6" t="e">
        <f>#REF!</f>
        <v>#REF!</v>
      </c>
      <c r="Q6" s="136" t="e">
        <f>#REF!</f>
        <v>#REF!</v>
      </c>
      <c r="R6" s="136" t="e">
        <f>#REF!</f>
        <v>#REF!</v>
      </c>
      <c r="S6" s="136" t="e">
        <f>#REF!</f>
        <v>#REF!</v>
      </c>
      <c r="T6" s="136" t="e">
        <f>#REF!</f>
        <v>#REF!</v>
      </c>
      <c r="U6" s="136" t="e">
        <f>#REF!</f>
        <v>#REF!</v>
      </c>
      <c r="V6" s="136" t="e">
        <f>#REF!</f>
        <v>#REF!</v>
      </c>
      <c r="W6" s="136" t="e">
        <f>#REF!</f>
        <v>#REF!</v>
      </c>
      <c r="X6" s="136" t="e">
        <f>#REF!</f>
        <v>#REF!</v>
      </c>
      <c r="Y6" s="136" t="e">
        <f>#REF!</f>
        <v>#REF!</v>
      </c>
      <c r="Z6" s="136" t="e">
        <f>#REF!</f>
        <v>#REF!</v>
      </c>
      <c r="AA6" s="136" t="e">
        <f>#REF!</f>
        <v>#REF!</v>
      </c>
      <c r="AB6" s="136" t="e">
        <f>#REF!</f>
        <v>#REF!</v>
      </c>
      <c r="AC6" s="136" t="e">
        <f>#REF!</f>
        <v>#REF!</v>
      </c>
      <c r="AD6" s="136" t="e">
        <f>#REF!</f>
        <v>#REF!</v>
      </c>
      <c r="AE6" s="136" t="e">
        <f>#REF!</f>
        <v>#REF!</v>
      </c>
      <c r="AF6" s="136" t="e">
        <f>#REF!</f>
        <v>#REF!</v>
      </c>
      <c r="AG6" s="136" t="e">
        <f>#REF!</f>
        <v>#REF!</v>
      </c>
      <c r="AH6" s="136" t="e">
        <f>#REF!</f>
        <v>#REF!</v>
      </c>
      <c r="AI6" s="136" t="e">
        <f>#REF!</f>
        <v>#REF!</v>
      </c>
      <c r="AJ6" s="136" t="e">
        <f>#REF!</f>
        <v>#REF!</v>
      </c>
      <c r="AK6" s="136" t="e">
        <f>#REF!</f>
        <v>#REF!</v>
      </c>
      <c r="AL6" s="13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s="137" t="e">
        <f>#REF!</f>
        <v>#REF!</v>
      </c>
      <c r="BO6" s="137" t="e">
        <f>#REF!</f>
        <v>#REF!</v>
      </c>
      <c r="BP6" s="137" t="e">
        <f>#REF!</f>
        <v>#REF!</v>
      </c>
      <c r="BQ6" s="137" t="e">
        <f>#REF!</f>
        <v>#REF!</v>
      </c>
      <c r="BR6" s="137" t="e">
        <f>#REF!</f>
        <v>#REF!</v>
      </c>
      <c r="BS6" s="137" t="e">
        <f>#REF!</f>
        <v>#REF!</v>
      </c>
      <c r="BT6" s="137" t="e">
        <f>#REF!</f>
        <v>#REF!</v>
      </c>
      <c r="BU6" s="137" t="e">
        <f>#REF!</f>
        <v>#REF!</v>
      </c>
      <c r="BV6" s="137" t="e">
        <f>#REF!</f>
        <v>#REF!</v>
      </c>
      <c r="BW6" s="137" t="e">
        <f>#REF!</f>
        <v>#REF!</v>
      </c>
      <c r="BX6" s="137" t="e">
        <f>#REF!</f>
        <v>#REF!</v>
      </c>
      <c r="BY6" s="137" t="e">
        <f>#REF!</f>
        <v>#REF!</v>
      </c>
      <c r="BZ6" s="137" t="e">
        <f>#REF!</f>
        <v>#REF!</v>
      </c>
      <c r="CA6" s="137" t="e">
        <f>#REF!</f>
        <v>#REF!</v>
      </c>
      <c r="CB6" t="e">
        <f>#REF!</f>
        <v>#REF!</v>
      </c>
      <c r="CC6" t="e">
        <f>#REF!</f>
        <v>#REF!</v>
      </c>
      <c r="CD6" t="e">
        <f>#REF!</f>
        <v>#REF!</v>
      </c>
      <c r="CE6" t="e">
        <f>#REF!</f>
        <v>#REF!</v>
      </c>
      <c r="CF6" t="e">
        <f>#REF!</f>
        <v>#REF!</v>
      </c>
      <c r="CG6" t="e">
        <f>#REF!</f>
        <v>#REF!</v>
      </c>
      <c r="CH6" t="e">
        <f>#REF!</f>
        <v>#REF!</v>
      </c>
      <c r="CI6" t="e">
        <f>#REF!</f>
        <v>#REF!</v>
      </c>
      <c r="CJ6" s="136" t="e">
        <f>#REF!</f>
        <v>#REF!</v>
      </c>
      <c r="CK6" s="136" t="e">
        <f>#REF!</f>
        <v>#REF!</v>
      </c>
      <c r="CL6" s="136" t="e">
        <f>#REF!</f>
        <v>#REF!</v>
      </c>
      <c r="CM6" s="136" t="e">
        <f>#REF!</f>
        <v>#REF!</v>
      </c>
      <c r="CN6" s="136" t="e">
        <f>#REF!</f>
        <v>#REF!</v>
      </c>
      <c r="CO6" s="136" t="e">
        <f>#REF!</f>
        <v>#REF!</v>
      </c>
      <c r="CP6" t="e">
        <f>#REF!</f>
        <v>#REF!</v>
      </c>
      <c r="CQ6" t="e">
        <f>#REF!</f>
        <v>#REF!</v>
      </c>
      <c r="CR6" t="e">
        <f>#REF!</f>
        <v>#REF!</v>
      </c>
      <c r="CS6" t="e">
        <f>#REF!</f>
        <v>#REF!</v>
      </c>
      <c r="CT6" t="e">
        <f>#REF!</f>
        <v>#REF!</v>
      </c>
      <c r="CU6" t="e">
        <f>#REF!</f>
        <v>#REF!</v>
      </c>
      <c r="CV6" t="e">
        <f>#REF!</f>
        <v>#REF!</v>
      </c>
      <c r="CW6" t="e">
        <f>#REF!</f>
        <v>#REF!</v>
      </c>
      <c r="CX6" t="e">
        <f>#REF!</f>
        <v>#REF!</v>
      </c>
      <c r="CY6" t="e">
        <f>#REF!</f>
        <v>#REF!</v>
      </c>
      <c r="CZ6" t="e">
        <f>#REF!</f>
        <v>#REF!</v>
      </c>
      <c r="DA6" t="e">
        <f>#REF!</f>
        <v>#REF!</v>
      </c>
      <c r="DB6" t="e">
        <f>#REF!</f>
        <v>#REF!</v>
      </c>
      <c r="DC6" t="e">
        <f>#REF!</f>
        <v>#REF!</v>
      </c>
      <c r="DD6" t="e">
        <f>#REF!</f>
        <v>#REF!</v>
      </c>
      <c r="DE6" t="e">
        <f>#REF!</f>
        <v>#REF!</v>
      </c>
      <c r="DF6" t="e">
        <f>#REF!</f>
        <v>#REF!</v>
      </c>
      <c r="DG6" t="e">
        <f>#REF!</f>
        <v>#REF!</v>
      </c>
      <c r="DH6" t="e">
        <f>#REF!</f>
        <v>#REF!</v>
      </c>
      <c r="DI6" t="e">
        <f>#REF!</f>
        <v>#REF!</v>
      </c>
      <c r="DJ6" t="e">
        <f>#REF!</f>
        <v>#REF!</v>
      </c>
      <c r="DK6" t="e">
        <f>#REF!</f>
        <v>#REF!</v>
      </c>
      <c r="DL6" t="e">
        <f>#REF!</f>
        <v>#REF!</v>
      </c>
      <c r="DM6" t="e">
        <f>#REF!</f>
        <v>#REF!</v>
      </c>
      <c r="DN6" t="e">
        <f>#REF!</f>
        <v>#REF!</v>
      </c>
      <c r="DO6" t="e">
        <f>#REF!</f>
        <v>#REF!</v>
      </c>
      <c r="DP6" t="e">
        <f>#REF!</f>
        <v>#REF!</v>
      </c>
      <c r="DQ6" t="e">
        <f>#REF!</f>
        <v>#REF!</v>
      </c>
      <c r="DR6" t="e">
        <f>#REF!</f>
        <v>#REF!</v>
      </c>
      <c r="DS6" t="e">
        <f>#REF!</f>
        <v>#REF!</v>
      </c>
      <c r="DT6" t="e">
        <f>#REF!</f>
        <v>#REF!</v>
      </c>
      <c r="DU6" t="e">
        <f>#REF!</f>
        <v>#REF!</v>
      </c>
      <c r="DV6" t="e">
        <f>#REF!</f>
        <v>#REF!</v>
      </c>
      <c r="DW6" t="e">
        <f>#REF!</f>
        <v>#REF!</v>
      </c>
      <c r="DX6" t="e">
        <f>#REF!</f>
        <v>#REF!</v>
      </c>
      <c r="DY6" t="e">
        <f>#REF!</f>
        <v>#REF!</v>
      </c>
      <c r="DZ6" t="e">
        <f>#REF!</f>
        <v>#REF!</v>
      </c>
      <c r="EA6" t="e">
        <f>#REF!</f>
        <v>#REF!</v>
      </c>
      <c r="EB6" t="e">
        <f>#REF!</f>
        <v>#REF!</v>
      </c>
      <c r="EC6" t="e">
        <f>#REF!</f>
        <v>#REF!</v>
      </c>
      <c r="ED6" t="e">
        <f>#REF!</f>
        <v>#REF!</v>
      </c>
      <c r="EE6" t="e">
        <f>#REF!</f>
        <v>#REF!</v>
      </c>
      <c r="EF6" t="e">
        <f>#REF!</f>
        <v>#REF!</v>
      </c>
      <c r="EG6" t="e">
        <f>#REF!</f>
        <v>#REF!</v>
      </c>
      <c r="EH6" t="e">
        <f>#REF!</f>
        <v>#REF!</v>
      </c>
      <c r="EI6" t="e">
        <f>#REF!</f>
        <v>#REF!</v>
      </c>
      <c r="EJ6" t="e">
        <f>#REF!</f>
        <v>#REF!</v>
      </c>
      <c r="EK6" t="e">
        <f>#REF!</f>
        <v>#REF!</v>
      </c>
      <c r="EL6" t="e">
        <f>#REF!</f>
        <v>#REF!</v>
      </c>
      <c r="EM6" t="e">
        <f>#REF!</f>
        <v>#REF!</v>
      </c>
      <c r="EN6" t="e">
        <f>#REF!</f>
        <v>#REF!</v>
      </c>
      <c r="EO6" t="e">
        <f>#REF!</f>
        <v>#REF!</v>
      </c>
      <c r="EP6" t="e">
        <f>#REF!</f>
        <v>#REF!</v>
      </c>
      <c r="EQ6" t="e">
        <f>#REF!</f>
        <v>#REF!</v>
      </c>
      <c r="ER6" t="e">
        <f>#REF!</f>
        <v>#REF!</v>
      </c>
      <c r="ES6" t="e">
        <f>#REF!</f>
        <v>#REF!</v>
      </c>
      <c r="ET6" t="e">
        <f>#REF!</f>
        <v>#REF!</v>
      </c>
      <c r="EU6" t="e">
        <f>#REF!</f>
        <v>#REF!</v>
      </c>
      <c r="EV6" t="e">
        <f>#REF!</f>
        <v>#REF!</v>
      </c>
      <c r="EW6" t="e">
        <f>#REF!</f>
        <v>#REF!</v>
      </c>
      <c r="EX6" t="e">
        <f>#REF!</f>
        <v>#REF!</v>
      </c>
      <c r="EY6" t="e">
        <f>#REF!</f>
        <v>#REF!</v>
      </c>
      <c r="EZ6" t="e">
        <f>#REF!</f>
        <v>#REF!</v>
      </c>
      <c r="FA6" t="e">
        <f>#REF!</f>
        <v>#REF!</v>
      </c>
      <c r="FB6" t="e">
        <f>#REF!</f>
        <v>#REF!</v>
      </c>
      <c r="FC6" t="e">
        <f>#REF!</f>
        <v>#REF!</v>
      </c>
      <c r="FD6" t="e">
        <f>#REF!</f>
        <v>#REF!</v>
      </c>
      <c r="FE6" t="e">
        <f>#REF!</f>
        <v>#REF!</v>
      </c>
      <c r="FF6" t="e">
        <f>#REF!</f>
        <v>#REF!</v>
      </c>
      <c r="FG6" t="e">
        <f>#REF!</f>
        <v>#REF!</v>
      </c>
      <c r="FH6" t="e">
        <f>#REF!</f>
        <v>#REF!</v>
      </c>
      <c r="FI6" t="e">
        <f>#REF!</f>
        <v>#REF!</v>
      </c>
      <c r="FJ6" t="e">
        <f>#REF!</f>
        <v>#REF!</v>
      </c>
      <c r="FK6" t="e">
        <f>#REF!</f>
        <v>#REF!</v>
      </c>
      <c r="FL6" t="e">
        <f>#REF!</f>
        <v>#REF!</v>
      </c>
      <c r="FM6" t="e">
        <f>#REF!</f>
        <v>#REF!</v>
      </c>
      <c r="FN6" t="e">
        <f>#REF!</f>
        <v>#REF!</v>
      </c>
    </row>
    <row r="7" spans="1:170" ht="15" x14ac:dyDescent="0.25">
      <c r="A7" s="619">
        <v>1</v>
      </c>
      <c r="B7" s="133" t="e">
        <f>RIGHT(#REF!,LEN(#REF!)-(FIND("Standards",#REF!,1)+9))</f>
        <v>#REF!</v>
      </c>
      <c r="C7" s="620" t="e">
        <f>#REF!</f>
        <v>#REF!</v>
      </c>
      <c r="D7" s="620">
        <v>72686</v>
      </c>
      <c r="E7" s="621" t="e">
        <f>#REF!</f>
        <v>#REF!</v>
      </c>
      <c r="F7" s="621" t="e">
        <f>#REF!</f>
        <v>#REF!</v>
      </c>
      <c r="G7" s="619" t="e">
        <f>#REF!</f>
        <v>#REF!</v>
      </c>
      <c r="H7" s="619" t="e">
        <f>#REF!</f>
        <v>#REF!</v>
      </c>
      <c r="I7" s="621" t="e">
        <f>#REF!</f>
        <v>#REF!</v>
      </c>
      <c r="J7" s="619" t="e">
        <f>#REF!</f>
        <v>#REF!</v>
      </c>
      <c r="K7" s="621" t="e">
        <f>#REF!</f>
        <v>#REF!</v>
      </c>
      <c r="L7" s="622" t="e">
        <f>#REF!</f>
        <v>#REF!</v>
      </c>
      <c r="M7" s="622" t="e">
        <f>#REF!</f>
        <v>#REF!</v>
      </c>
      <c r="N7" t="e">
        <f>#REF!</f>
        <v>#REF!</v>
      </c>
      <c r="O7" t="e">
        <f>#REF!</f>
        <v>#REF!</v>
      </c>
      <c r="P7" t="e">
        <f>#REF!</f>
        <v>#REF!</v>
      </c>
      <c r="Q7" s="136" t="e">
        <f>#REF!</f>
        <v>#REF!</v>
      </c>
      <c r="R7" s="136" t="e">
        <f>#REF!</f>
        <v>#REF!</v>
      </c>
      <c r="S7" s="136" t="e">
        <f>#REF!</f>
        <v>#REF!</v>
      </c>
      <c r="T7" s="136" t="e">
        <f>#REF!</f>
        <v>#REF!</v>
      </c>
      <c r="U7" s="136" t="e">
        <f>#REF!</f>
        <v>#REF!</v>
      </c>
      <c r="V7" s="136" t="e">
        <f>#REF!</f>
        <v>#REF!</v>
      </c>
      <c r="W7" s="136" t="e">
        <f>#REF!</f>
        <v>#REF!</v>
      </c>
      <c r="X7" s="136" t="e">
        <f>#REF!</f>
        <v>#REF!</v>
      </c>
      <c r="Y7" s="136" t="e">
        <f>#REF!</f>
        <v>#REF!</v>
      </c>
      <c r="Z7" s="136" t="e">
        <f>#REF!</f>
        <v>#REF!</v>
      </c>
      <c r="AA7" s="136" t="e">
        <f>#REF!</f>
        <v>#REF!</v>
      </c>
      <c r="AB7" s="136" t="e">
        <f>#REF!</f>
        <v>#REF!</v>
      </c>
      <c r="AC7" s="136" t="e">
        <f>#REF!</f>
        <v>#REF!</v>
      </c>
      <c r="AD7" s="136" t="e">
        <f>#REF!</f>
        <v>#REF!</v>
      </c>
      <c r="AE7" s="136" t="e">
        <f>#REF!</f>
        <v>#REF!</v>
      </c>
      <c r="AF7" s="136" t="e">
        <f>#REF!</f>
        <v>#REF!</v>
      </c>
      <c r="AG7" s="136" t="e">
        <f>#REF!</f>
        <v>#REF!</v>
      </c>
      <c r="AH7" s="136" t="e">
        <f>#REF!</f>
        <v>#REF!</v>
      </c>
      <c r="AI7" s="136" t="e">
        <f>#REF!</f>
        <v>#REF!</v>
      </c>
      <c r="AJ7" s="136" t="e">
        <f>#REF!</f>
        <v>#REF!</v>
      </c>
      <c r="AK7" s="136" t="e">
        <f>#REF!</f>
        <v>#REF!</v>
      </c>
      <c r="AL7" s="136"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s="137" t="e">
        <f>#REF!</f>
        <v>#REF!</v>
      </c>
      <c r="BO7" s="137" t="e">
        <f>#REF!</f>
        <v>#REF!</v>
      </c>
      <c r="BP7" s="137" t="e">
        <f>#REF!</f>
        <v>#REF!</v>
      </c>
      <c r="BQ7" s="137" t="e">
        <f>#REF!</f>
        <v>#REF!</v>
      </c>
      <c r="BR7" s="137" t="e">
        <f>#REF!</f>
        <v>#REF!</v>
      </c>
      <c r="BS7" s="137" t="e">
        <f>#REF!</f>
        <v>#REF!</v>
      </c>
      <c r="BT7" s="137" t="e">
        <f>#REF!</f>
        <v>#REF!</v>
      </c>
      <c r="BU7" s="137" t="e">
        <f>#REF!</f>
        <v>#REF!</v>
      </c>
      <c r="BV7" s="137" t="e">
        <f>#REF!</f>
        <v>#REF!</v>
      </c>
      <c r="BW7" s="137" t="e">
        <f>#REF!</f>
        <v>#REF!</v>
      </c>
      <c r="BX7" s="137" t="e">
        <f>#REF!</f>
        <v>#REF!</v>
      </c>
      <c r="BY7" s="137" t="e">
        <f>#REF!</f>
        <v>#REF!</v>
      </c>
      <c r="BZ7" s="137" t="e">
        <f>#REF!</f>
        <v>#REF!</v>
      </c>
      <c r="CA7" s="137" t="e">
        <f>#REF!</f>
        <v>#REF!</v>
      </c>
      <c r="CB7" t="e">
        <f>#REF!</f>
        <v>#REF!</v>
      </c>
      <c r="CC7" t="e">
        <f>#REF!</f>
        <v>#REF!</v>
      </c>
      <c r="CD7" t="e">
        <f>#REF!</f>
        <v>#REF!</v>
      </c>
      <c r="CE7" t="e">
        <f>#REF!</f>
        <v>#REF!</v>
      </c>
      <c r="CF7" t="e">
        <f>#REF!</f>
        <v>#REF!</v>
      </c>
      <c r="CG7" t="e">
        <f>#REF!</f>
        <v>#REF!</v>
      </c>
      <c r="CH7" t="e">
        <f>#REF!</f>
        <v>#REF!</v>
      </c>
      <c r="CI7" t="e">
        <f>#REF!</f>
        <v>#REF!</v>
      </c>
      <c r="CJ7" s="136" t="e">
        <f>#REF!</f>
        <v>#REF!</v>
      </c>
      <c r="CK7" s="136" t="e">
        <f>#REF!</f>
        <v>#REF!</v>
      </c>
      <c r="CL7" s="136" t="e">
        <f>#REF!</f>
        <v>#REF!</v>
      </c>
      <c r="CM7" s="136" t="e">
        <f>#REF!</f>
        <v>#REF!</v>
      </c>
      <c r="CN7" s="136" t="e">
        <f>#REF!</f>
        <v>#REF!</v>
      </c>
      <c r="CO7" s="136" t="e">
        <f>#REF!</f>
        <v>#REF!</v>
      </c>
      <c r="CP7" t="e">
        <f>#REF!</f>
        <v>#REF!</v>
      </c>
      <c r="CQ7" t="e">
        <f>#REF!</f>
        <v>#REF!</v>
      </c>
      <c r="CR7" t="e">
        <f>#REF!</f>
        <v>#REF!</v>
      </c>
      <c r="CS7" t="e">
        <f>#REF!</f>
        <v>#REF!</v>
      </c>
      <c r="CT7" t="e">
        <f>#REF!</f>
        <v>#REF!</v>
      </c>
      <c r="CU7" t="e">
        <f>#REF!</f>
        <v>#REF!</v>
      </c>
      <c r="CV7" t="e">
        <f>#REF!</f>
        <v>#REF!</v>
      </c>
      <c r="CW7" t="e">
        <f>#REF!</f>
        <v>#REF!</v>
      </c>
      <c r="CX7" t="e">
        <f>#REF!</f>
        <v>#REF!</v>
      </c>
      <c r="CY7" t="e">
        <f>#REF!</f>
        <v>#REF!</v>
      </c>
      <c r="CZ7" t="e">
        <f>#REF!</f>
        <v>#REF!</v>
      </c>
      <c r="DA7" t="e">
        <f>#REF!</f>
        <v>#REF!</v>
      </c>
      <c r="DB7" t="e">
        <f>#REF!</f>
        <v>#REF!</v>
      </c>
      <c r="DC7" t="e">
        <f>#REF!</f>
        <v>#REF!</v>
      </c>
      <c r="DD7" t="e">
        <f>#REF!</f>
        <v>#REF!</v>
      </c>
      <c r="DE7" t="e">
        <f>#REF!</f>
        <v>#REF!</v>
      </c>
      <c r="DF7" t="e">
        <f>#REF!</f>
        <v>#REF!</v>
      </c>
      <c r="DG7" t="e">
        <f>#REF!</f>
        <v>#REF!</v>
      </c>
      <c r="DH7" t="e">
        <f>#REF!</f>
        <v>#REF!</v>
      </c>
      <c r="DI7" t="e">
        <f>#REF!</f>
        <v>#REF!</v>
      </c>
      <c r="DJ7" t="e">
        <f>#REF!</f>
        <v>#REF!</v>
      </c>
      <c r="DK7" t="e">
        <f>#REF!</f>
        <v>#REF!</v>
      </c>
      <c r="DL7" t="e">
        <f>#REF!</f>
        <v>#REF!</v>
      </c>
      <c r="DM7" t="e">
        <f>#REF!</f>
        <v>#REF!</v>
      </c>
      <c r="DN7" t="e">
        <f>#REF!</f>
        <v>#REF!</v>
      </c>
      <c r="DO7" t="e">
        <f>#REF!</f>
        <v>#REF!</v>
      </c>
      <c r="DP7" t="e">
        <f>#REF!</f>
        <v>#REF!</v>
      </c>
      <c r="DQ7" t="e">
        <f>#REF!</f>
        <v>#REF!</v>
      </c>
      <c r="DR7" t="e">
        <f>#REF!</f>
        <v>#REF!</v>
      </c>
      <c r="DS7" t="e">
        <f>#REF!</f>
        <v>#REF!</v>
      </c>
      <c r="DT7" t="e">
        <f>#REF!</f>
        <v>#REF!</v>
      </c>
      <c r="DU7" t="e">
        <f>#REF!</f>
        <v>#REF!</v>
      </c>
      <c r="DV7" t="e">
        <f>#REF!</f>
        <v>#REF!</v>
      </c>
      <c r="DW7" t="e">
        <f>#REF!</f>
        <v>#REF!</v>
      </c>
      <c r="DX7" t="e">
        <f>#REF!</f>
        <v>#REF!</v>
      </c>
      <c r="DY7" t="e">
        <f>#REF!</f>
        <v>#REF!</v>
      </c>
      <c r="DZ7" t="e">
        <f>#REF!</f>
        <v>#REF!</v>
      </c>
      <c r="EA7" t="e">
        <f>#REF!</f>
        <v>#REF!</v>
      </c>
      <c r="EB7" t="e">
        <f>#REF!</f>
        <v>#REF!</v>
      </c>
      <c r="EC7" t="e">
        <f>#REF!</f>
        <v>#REF!</v>
      </c>
      <c r="ED7" t="e">
        <f>#REF!</f>
        <v>#REF!</v>
      </c>
      <c r="EE7" t="e">
        <f>#REF!</f>
        <v>#REF!</v>
      </c>
      <c r="EF7" t="e">
        <f>#REF!</f>
        <v>#REF!</v>
      </c>
      <c r="EG7" t="e">
        <f>#REF!</f>
        <v>#REF!</v>
      </c>
      <c r="EH7" t="e">
        <f>#REF!</f>
        <v>#REF!</v>
      </c>
      <c r="EI7" t="e">
        <f>#REF!</f>
        <v>#REF!</v>
      </c>
      <c r="EJ7" t="e">
        <f>#REF!</f>
        <v>#REF!</v>
      </c>
      <c r="EK7" t="e">
        <f>#REF!</f>
        <v>#REF!</v>
      </c>
      <c r="EL7" t="e">
        <f>#REF!</f>
        <v>#REF!</v>
      </c>
      <c r="EM7" t="e">
        <f>#REF!</f>
        <v>#REF!</v>
      </c>
      <c r="EN7" t="e">
        <f>#REF!</f>
        <v>#REF!</v>
      </c>
      <c r="EO7" t="e">
        <f>#REF!</f>
        <v>#REF!</v>
      </c>
      <c r="EP7" t="e">
        <f>#REF!</f>
        <v>#REF!</v>
      </c>
      <c r="EQ7" t="e">
        <f>#REF!</f>
        <v>#REF!</v>
      </c>
      <c r="ER7" t="e">
        <f>#REF!</f>
        <v>#REF!</v>
      </c>
      <c r="ES7" t="e">
        <f>#REF!</f>
        <v>#REF!</v>
      </c>
      <c r="ET7" t="e">
        <f>#REF!</f>
        <v>#REF!</v>
      </c>
      <c r="EU7" t="e">
        <f>#REF!</f>
        <v>#REF!</v>
      </c>
      <c r="EV7" t="e">
        <f>#REF!</f>
        <v>#REF!</v>
      </c>
      <c r="EW7" t="e">
        <f>#REF!</f>
        <v>#REF!</v>
      </c>
      <c r="EX7" t="e">
        <f>#REF!</f>
        <v>#REF!</v>
      </c>
      <c r="EY7" t="e">
        <f>#REF!</f>
        <v>#REF!</v>
      </c>
      <c r="EZ7" t="e">
        <f>#REF!</f>
        <v>#REF!</v>
      </c>
      <c r="FA7" t="e">
        <f>#REF!</f>
        <v>#REF!</v>
      </c>
      <c r="FB7" t="e">
        <f>#REF!</f>
        <v>#REF!</v>
      </c>
      <c r="FC7" t="e">
        <f>#REF!</f>
        <v>#REF!</v>
      </c>
      <c r="FD7" t="e">
        <f>#REF!</f>
        <v>#REF!</v>
      </c>
      <c r="FE7" t="e">
        <f>#REF!</f>
        <v>#REF!</v>
      </c>
      <c r="FF7" t="e">
        <f>#REF!</f>
        <v>#REF!</v>
      </c>
      <c r="FG7" t="e">
        <f>#REF!</f>
        <v>#REF!</v>
      </c>
      <c r="FH7" t="e">
        <f>#REF!</f>
        <v>#REF!</v>
      </c>
      <c r="FI7" t="e">
        <f>#REF!</f>
        <v>#REF!</v>
      </c>
      <c r="FJ7" t="e">
        <f>#REF!</f>
        <v>#REF!</v>
      </c>
      <c r="FK7" t="e">
        <f>#REF!</f>
        <v>#REF!</v>
      </c>
      <c r="FL7" t="e">
        <f>#REF!</f>
        <v>#REF!</v>
      </c>
      <c r="FM7" t="e">
        <f>#REF!</f>
        <v>#REF!</v>
      </c>
      <c r="FN7" t="e">
        <f>#REF!</f>
        <v>#REF!</v>
      </c>
    </row>
    <row r="8" spans="1:170" ht="15" x14ac:dyDescent="0.25">
      <c r="A8" s="619">
        <v>1</v>
      </c>
      <c r="B8" s="133" t="e">
        <f>RIGHT(#REF!,LEN(#REF!)-(FIND("Standards",#REF!,1)+9))</f>
        <v>#REF!</v>
      </c>
      <c r="C8" s="620" t="e">
        <f>#REF!</f>
        <v>#REF!</v>
      </c>
      <c r="D8" s="620">
        <v>72686</v>
      </c>
      <c r="E8" s="621" t="e">
        <f>#REF!</f>
        <v>#REF!</v>
      </c>
      <c r="F8" s="621" t="e">
        <f>#REF!</f>
        <v>#REF!</v>
      </c>
      <c r="G8" s="619" t="e">
        <f>#REF!</f>
        <v>#REF!</v>
      </c>
      <c r="H8" s="619" t="e">
        <f>#REF!</f>
        <v>#REF!</v>
      </c>
      <c r="I8" s="621" t="e">
        <f>#REF!</f>
        <v>#REF!</v>
      </c>
      <c r="J8" s="619" t="e">
        <f>#REF!</f>
        <v>#REF!</v>
      </c>
      <c r="K8" s="621" t="e">
        <f>#REF!</f>
        <v>#REF!</v>
      </c>
      <c r="L8" s="622" t="e">
        <f>#REF!</f>
        <v>#REF!</v>
      </c>
      <c r="M8" s="622" t="e">
        <f>#REF!</f>
        <v>#REF!</v>
      </c>
      <c r="N8" t="e">
        <f>#REF!</f>
        <v>#REF!</v>
      </c>
      <c r="O8" t="e">
        <f>#REF!</f>
        <v>#REF!</v>
      </c>
      <c r="P8" t="e">
        <f>#REF!</f>
        <v>#REF!</v>
      </c>
      <c r="Q8" s="136" t="e">
        <f>#REF!</f>
        <v>#REF!</v>
      </c>
      <c r="R8" s="136" t="e">
        <f>#REF!</f>
        <v>#REF!</v>
      </c>
      <c r="S8" s="136" t="e">
        <f>#REF!</f>
        <v>#REF!</v>
      </c>
      <c r="T8" s="136" t="e">
        <f>#REF!</f>
        <v>#REF!</v>
      </c>
      <c r="U8" s="136" t="e">
        <f>#REF!</f>
        <v>#REF!</v>
      </c>
      <c r="V8" s="136" t="e">
        <f>#REF!</f>
        <v>#REF!</v>
      </c>
      <c r="W8" s="136" t="e">
        <f>#REF!</f>
        <v>#REF!</v>
      </c>
      <c r="X8" s="136" t="e">
        <f>#REF!</f>
        <v>#REF!</v>
      </c>
      <c r="Y8" s="136" t="e">
        <f>#REF!</f>
        <v>#REF!</v>
      </c>
      <c r="Z8" s="136" t="e">
        <f>#REF!</f>
        <v>#REF!</v>
      </c>
      <c r="AA8" s="136" t="e">
        <f>#REF!</f>
        <v>#REF!</v>
      </c>
      <c r="AB8" s="136" t="e">
        <f>#REF!</f>
        <v>#REF!</v>
      </c>
      <c r="AC8" s="136" t="e">
        <f>#REF!</f>
        <v>#REF!</v>
      </c>
      <c r="AD8" s="136" t="e">
        <f>#REF!</f>
        <v>#REF!</v>
      </c>
      <c r="AE8" s="136" t="e">
        <f>#REF!</f>
        <v>#REF!</v>
      </c>
      <c r="AF8" s="136" t="e">
        <f>#REF!</f>
        <v>#REF!</v>
      </c>
      <c r="AG8" s="136" t="e">
        <f>#REF!</f>
        <v>#REF!</v>
      </c>
      <c r="AH8" s="136" t="e">
        <f>#REF!</f>
        <v>#REF!</v>
      </c>
      <c r="AI8" s="136" t="e">
        <f>#REF!</f>
        <v>#REF!</v>
      </c>
      <c r="AJ8" s="136" t="e">
        <f>#REF!</f>
        <v>#REF!</v>
      </c>
      <c r="AK8" s="136" t="e">
        <f>#REF!</f>
        <v>#REF!</v>
      </c>
      <c r="AL8" s="136"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s="137" t="e">
        <f>#REF!</f>
        <v>#REF!</v>
      </c>
      <c r="BO8" s="137" t="e">
        <f>#REF!</f>
        <v>#REF!</v>
      </c>
      <c r="BP8" s="137" t="e">
        <f>#REF!</f>
        <v>#REF!</v>
      </c>
      <c r="BQ8" s="137" t="e">
        <f>#REF!</f>
        <v>#REF!</v>
      </c>
      <c r="BR8" s="137" t="e">
        <f>#REF!</f>
        <v>#REF!</v>
      </c>
      <c r="BS8" s="137" t="e">
        <f>#REF!</f>
        <v>#REF!</v>
      </c>
      <c r="BT8" s="137" t="e">
        <f>#REF!</f>
        <v>#REF!</v>
      </c>
      <c r="BU8" s="137" t="e">
        <f>#REF!</f>
        <v>#REF!</v>
      </c>
      <c r="BV8" s="137" t="e">
        <f>#REF!</f>
        <v>#REF!</v>
      </c>
      <c r="BW8" s="137" t="e">
        <f>#REF!</f>
        <v>#REF!</v>
      </c>
      <c r="BX8" s="137" t="e">
        <f>#REF!</f>
        <v>#REF!</v>
      </c>
      <c r="BY8" s="137" t="e">
        <f>#REF!</f>
        <v>#REF!</v>
      </c>
      <c r="BZ8" s="137" t="e">
        <f>#REF!</f>
        <v>#REF!</v>
      </c>
      <c r="CA8" s="137" t="e">
        <f>#REF!</f>
        <v>#REF!</v>
      </c>
      <c r="CB8" t="e">
        <f>#REF!</f>
        <v>#REF!</v>
      </c>
      <c r="CC8" t="e">
        <f>#REF!</f>
        <v>#REF!</v>
      </c>
      <c r="CD8" t="e">
        <f>#REF!</f>
        <v>#REF!</v>
      </c>
      <c r="CE8" t="e">
        <f>#REF!</f>
        <v>#REF!</v>
      </c>
      <c r="CF8" t="e">
        <f>#REF!</f>
        <v>#REF!</v>
      </c>
      <c r="CG8" t="e">
        <f>#REF!</f>
        <v>#REF!</v>
      </c>
      <c r="CH8" t="e">
        <f>#REF!</f>
        <v>#REF!</v>
      </c>
      <c r="CI8" t="e">
        <f>#REF!</f>
        <v>#REF!</v>
      </c>
      <c r="CJ8" s="136" t="e">
        <f>#REF!</f>
        <v>#REF!</v>
      </c>
      <c r="CK8" s="136" t="e">
        <f>#REF!</f>
        <v>#REF!</v>
      </c>
      <c r="CL8" s="136" t="e">
        <f>#REF!</f>
        <v>#REF!</v>
      </c>
      <c r="CM8" s="136" t="e">
        <f>#REF!</f>
        <v>#REF!</v>
      </c>
      <c r="CN8" s="136" t="e">
        <f>#REF!</f>
        <v>#REF!</v>
      </c>
      <c r="CO8" s="136" t="e">
        <f>#REF!</f>
        <v>#REF!</v>
      </c>
      <c r="CP8" t="e">
        <f>#REF!</f>
        <v>#REF!</v>
      </c>
      <c r="CQ8" t="e">
        <f>#REF!</f>
        <v>#REF!</v>
      </c>
      <c r="CR8" t="e">
        <f>#REF!</f>
        <v>#REF!</v>
      </c>
      <c r="CS8" t="e">
        <f>#REF!</f>
        <v>#REF!</v>
      </c>
      <c r="CT8" t="e">
        <f>#REF!</f>
        <v>#REF!</v>
      </c>
      <c r="CU8" t="e">
        <f>#REF!</f>
        <v>#REF!</v>
      </c>
      <c r="CV8" t="e">
        <f>#REF!</f>
        <v>#REF!</v>
      </c>
      <c r="CW8" t="e">
        <f>#REF!</f>
        <v>#REF!</v>
      </c>
      <c r="CX8" t="e">
        <f>#REF!</f>
        <v>#REF!</v>
      </c>
      <c r="CY8" t="e">
        <f>#REF!</f>
        <v>#REF!</v>
      </c>
      <c r="CZ8" t="e">
        <f>#REF!</f>
        <v>#REF!</v>
      </c>
      <c r="DA8" t="e">
        <f>#REF!</f>
        <v>#REF!</v>
      </c>
      <c r="DB8" t="e">
        <f>#REF!</f>
        <v>#REF!</v>
      </c>
      <c r="DC8" t="e">
        <f>#REF!</f>
        <v>#REF!</v>
      </c>
      <c r="DD8" t="e">
        <f>#REF!</f>
        <v>#REF!</v>
      </c>
      <c r="DE8" t="e">
        <f>#REF!</f>
        <v>#REF!</v>
      </c>
      <c r="DF8" t="e">
        <f>#REF!</f>
        <v>#REF!</v>
      </c>
      <c r="DG8" t="e">
        <f>#REF!</f>
        <v>#REF!</v>
      </c>
      <c r="DH8" t="e">
        <f>#REF!</f>
        <v>#REF!</v>
      </c>
      <c r="DI8" t="e">
        <f>#REF!</f>
        <v>#REF!</v>
      </c>
      <c r="DJ8" t="e">
        <f>#REF!</f>
        <v>#REF!</v>
      </c>
      <c r="DK8" t="e">
        <f>#REF!</f>
        <v>#REF!</v>
      </c>
      <c r="DL8" t="e">
        <f>#REF!</f>
        <v>#REF!</v>
      </c>
      <c r="DM8" t="e">
        <f>#REF!</f>
        <v>#REF!</v>
      </c>
      <c r="DN8" t="e">
        <f>#REF!</f>
        <v>#REF!</v>
      </c>
      <c r="DO8" t="e">
        <f>#REF!</f>
        <v>#REF!</v>
      </c>
      <c r="DP8" t="e">
        <f>#REF!</f>
        <v>#REF!</v>
      </c>
      <c r="DQ8" t="e">
        <f>#REF!</f>
        <v>#REF!</v>
      </c>
      <c r="DR8" t="e">
        <f>#REF!</f>
        <v>#REF!</v>
      </c>
      <c r="DS8" t="e">
        <f>#REF!</f>
        <v>#REF!</v>
      </c>
      <c r="DT8" t="e">
        <f>#REF!</f>
        <v>#REF!</v>
      </c>
      <c r="DU8" t="e">
        <f>#REF!</f>
        <v>#REF!</v>
      </c>
      <c r="DV8" t="e">
        <f>#REF!</f>
        <v>#REF!</v>
      </c>
      <c r="DW8" t="e">
        <f>#REF!</f>
        <v>#REF!</v>
      </c>
      <c r="DX8" t="e">
        <f>#REF!</f>
        <v>#REF!</v>
      </c>
      <c r="DY8" t="e">
        <f>#REF!</f>
        <v>#REF!</v>
      </c>
      <c r="DZ8" t="e">
        <f>#REF!</f>
        <v>#REF!</v>
      </c>
      <c r="EA8" t="e">
        <f>#REF!</f>
        <v>#REF!</v>
      </c>
      <c r="EB8" t="e">
        <f>#REF!</f>
        <v>#REF!</v>
      </c>
      <c r="EC8" t="e">
        <f>#REF!</f>
        <v>#REF!</v>
      </c>
      <c r="ED8" t="e">
        <f>#REF!</f>
        <v>#REF!</v>
      </c>
      <c r="EE8" t="e">
        <f>#REF!</f>
        <v>#REF!</v>
      </c>
      <c r="EF8" t="e">
        <f>#REF!</f>
        <v>#REF!</v>
      </c>
      <c r="EG8" t="e">
        <f>#REF!</f>
        <v>#REF!</v>
      </c>
      <c r="EH8" t="e">
        <f>#REF!</f>
        <v>#REF!</v>
      </c>
      <c r="EI8" t="e">
        <f>#REF!</f>
        <v>#REF!</v>
      </c>
      <c r="EJ8" t="e">
        <f>#REF!</f>
        <v>#REF!</v>
      </c>
      <c r="EK8" t="e">
        <f>#REF!</f>
        <v>#REF!</v>
      </c>
      <c r="EL8" t="e">
        <f>#REF!</f>
        <v>#REF!</v>
      </c>
      <c r="EM8" t="e">
        <f>#REF!</f>
        <v>#REF!</v>
      </c>
      <c r="EN8" t="e">
        <f>#REF!</f>
        <v>#REF!</v>
      </c>
      <c r="EO8" t="e">
        <f>#REF!</f>
        <v>#REF!</v>
      </c>
      <c r="EP8" t="e">
        <f>#REF!</f>
        <v>#REF!</v>
      </c>
      <c r="EQ8" t="e">
        <f>#REF!</f>
        <v>#REF!</v>
      </c>
      <c r="ER8" t="e">
        <f>#REF!</f>
        <v>#REF!</v>
      </c>
      <c r="ES8" t="e">
        <f>#REF!</f>
        <v>#REF!</v>
      </c>
      <c r="ET8" t="e">
        <f>#REF!</f>
        <v>#REF!</v>
      </c>
      <c r="EU8" t="e">
        <f>#REF!</f>
        <v>#REF!</v>
      </c>
      <c r="EV8" t="e">
        <f>#REF!</f>
        <v>#REF!</v>
      </c>
      <c r="EW8" t="e">
        <f>#REF!</f>
        <v>#REF!</v>
      </c>
      <c r="EX8" t="e">
        <f>#REF!</f>
        <v>#REF!</v>
      </c>
      <c r="EY8" t="e">
        <f>#REF!</f>
        <v>#REF!</v>
      </c>
      <c r="EZ8" t="e">
        <f>#REF!</f>
        <v>#REF!</v>
      </c>
      <c r="FA8" t="e">
        <f>#REF!</f>
        <v>#REF!</v>
      </c>
      <c r="FB8" t="e">
        <f>#REF!</f>
        <v>#REF!</v>
      </c>
      <c r="FC8" t="e">
        <f>#REF!</f>
        <v>#REF!</v>
      </c>
      <c r="FD8" t="e">
        <f>#REF!</f>
        <v>#REF!</v>
      </c>
      <c r="FE8" t="e">
        <f>#REF!</f>
        <v>#REF!</v>
      </c>
      <c r="FF8" t="e">
        <f>#REF!</f>
        <v>#REF!</v>
      </c>
      <c r="FG8" t="e">
        <f>#REF!</f>
        <v>#REF!</v>
      </c>
      <c r="FH8" t="e">
        <f>#REF!</f>
        <v>#REF!</v>
      </c>
      <c r="FI8" t="e">
        <f>#REF!</f>
        <v>#REF!</v>
      </c>
      <c r="FJ8" t="e">
        <f>#REF!</f>
        <v>#REF!</v>
      </c>
      <c r="FK8" t="e">
        <f>#REF!</f>
        <v>#REF!</v>
      </c>
      <c r="FL8" t="e">
        <f>#REF!</f>
        <v>#REF!</v>
      </c>
      <c r="FM8" t="e">
        <f>#REF!</f>
        <v>#REF!</v>
      </c>
      <c r="FN8" t="e">
        <f>#REF!</f>
        <v>#REF!</v>
      </c>
    </row>
    <row r="9" spans="1:170" ht="15" x14ac:dyDescent="0.25">
      <c r="A9" s="619">
        <v>1</v>
      </c>
      <c r="B9" s="133" t="e">
        <f>RIGHT(#REF!,LEN(#REF!)-(FIND("Standards",#REF!,1)+9))</f>
        <v>#REF!</v>
      </c>
      <c r="C9" s="620" t="e">
        <f>#REF!</f>
        <v>#REF!</v>
      </c>
      <c r="D9" s="620">
        <v>72686</v>
      </c>
      <c r="E9" s="621" t="e">
        <f>#REF!</f>
        <v>#REF!</v>
      </c>
      <c r="F9" s="621" t="e">
        <f>#REF!</f>
        <v>#REF!</v>
      </c>
      <c r="G9" s="619" t="e">
        <f>#REF!</f>
        <v>#REF!</v>
      </c>
      <c r="H9" s="619" t="e">
        <f>#REF!</f>
        <v>#REF!</v>
      </c>
      <c r="I9" s="621" t="e">
        <f>#REF!</f>
        <v>#REF!</v>
      </c>
      <c r="J9" s="619" t="e">
        <f>#REF!</f>
        <v>#REF!</v>
      </c>
      <c r="K9" s="621" t="e">
        <f>#REF!</f>
        <v>#REF!</v>
      </c>
      <c r="L9" s="622" t="e">
        <f>#REF!</f>
        <v>#REF!</v>
      </c>
      <c r="M9" s="622" t="e">
        <f>#REF!</f>
        <v>#REF!</v>
      </c>
      <c r="N9" t="e">
        <f>#REF!</f>
        <v>#REF!</v>
      </c>
      <c r="O9" t="e">
        <f>#REF!</f>
        <v>#REF!</v>
      </c>
      <c r="P9" t="e">
        <f>#REF!</f>
        <v>#REF!</v>
      </c>
      <c r="Q9" s="136" t="e">
        <f>#REF!</f>
        <v>#REF!</v>
      </c>
      <c r="R9" s="136" t="e">
        <f>#REF!</f>
        <v>#REF!</v>
      </c>
      <c r="S9" s="136" t="e">
        <f>#REF!</f>
        <v>#REF!</v>
      </c>
      <c r="T9" s="136" t="e">
        <f>#REF!</f>
        <v>#REF!</v>
      </c>
      <c r="U9" s="136" t="e">
        <f>#REF!</f>
        <v>#REF!</v>
      </c>
      <c r="V9" s="136" t="e">
        <f>#REF!</f>
        <v>#REF!</v>
      </c>
      <c r="W9" s="136" t="e">
        <f>#REF!</f>
        <v>#REF!</v>
      </c>
      <c r="X9" s="136" t="e">
        <f>#REF!</f>
        <v>#REF!</v>
      </c>
      <c r="Y9" s="136" t="e">
        <f>#REF!</f>
        <v>#REF!</v>
      </c>
      <c r="Z9" s="136" t="e">
        <f>#REF!</f>
        <v>#REF!</v>
      </c>
      <c r="AA9" s="136" t="e">
        <f>#REF!</f>
        <v>#REF!</v>
      </c>
      <c r="AB9" s="136" t="e">
        <f>#REF!</f>
        <v>#REF!</v>
      </c>
      <c r="AC9" s="136" t="e">
        <f>#REF!</f>
        <v>#REF!</v>
      </c>
      <c r="AD9" s="136" t="e">
        <f>#REF!</f>
        <v>#REF!</v>
      </c>
      <c r="AE9" s="136" t="e">
        <f>#REF!</f>
        <v>#REF!</v>
      </c>
      <c r="AF9" s="136" t="e">
        <f>#REF!</f>
        <v>#REF!</v>
      </c>
      <c r="AG9" s="136" t="e">
        <f>#REF!</f>
        <v>#REF!</v>
      </c>
      <c r="AH9" s="136" t="e">
        <f>#REF!</f>
        <v>#REF!</v>
      </c>
      <c r="AI9" s="136" t="e">
        <f>#REF!</f>
        <v>#REF!</v>
      </c>
      <c r="AJ9" s="136" t="e">
        <f>#REF!</f>
        <v>#REF!</v>
      </c>
      <c r="AK9" s="136" t="e">
        <f>#REF!</f>
        <v>#REF!</v>
      </c>
      <c r="AL9" s="136"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s="137" t="e">
        <f>#REF!</f>
        <v>#REF!</v>
      </c>
      <c r="BO9" s="137" t="e">
        <f>#REF!</f>
        <v>#REF!</v>
      </c>
      <c r="BP9" s="137" t="e">
        <f>#REF!</f>
        <v>#REF!</v>
      </c>
      <c r="BQ9" s="137" t="e">
        <f>#REF!</f>
        <v>#REF!</v>
      </c>
      <c r="BR9" s="137" t="e">
        <f>#REF!</f>
        <v>#REF!</v>
      </c>
      <c r="BS9" s="137" t="e">
        <f>#REF!</f>
        <v>#REF!</v>
      </c>
      <c r="BT9" s="137" t="e">
        <f>#REF!</f>
        <v>#REF!</v>
      </c>
      <c r="BU9" s="137" t="e">
        <f>#REF!</f>
        <v>#REF!</v>
      </c>
      <c r="BV9" s="137" t="e">
        <f>#REF!</f>
        <v>#REF!</v>
      </c>
      <c r="BW9" s="137" t="e">
        <f>#REF!</f>
        <v>#REF!</v>
      </c>
      <c r="BX9" s="137" t="e">
        <f>#REF!</f>
        <v>#REF!</v>
      </c>
      <c r="BY9" s="137" t="e">
        <f>#REF!</f>
        <v>#REF!</v>
      </c>
      <c r="BZ9" s="137" t="e">
        <f>#REF!</f>
        <v>#REF!</v>
      </c>
      <c r="CA9" s="137" t="e">
        <f>#REF!</f>
        <v>#REF!</v>
      </c>
      <c r="CB9" t="e">
        <f>#REF!</f>
        <v>#REF!</v>
      </c>
      <c r="CC9" t="e">
        <f>#REF!</f>
        <v>#REF!</v>
      </c>
      <c r="CD9" t="e">
        <f>#REF!</f>
        <v>#REF!</v>
      </c>
      <c r="CE9" t="e">
        <f>#REF!</f>
        <v>#REF!</v>
      </c>
      <c r="CF9" t="e">
        <f>#REF!</f>
        <v>#REF!</v>
      </c>
      <c r="CG9" t="e">
        <f>#REF!</f>
        <v>#REF!</v>
      </c>
      <c r="CH9" t="e">
        <f>#REF!</f>
        <v>#REF!</v>
      </c>
      <c r="CI9" t="e">
        <f>#REF!</f>
        <v>#REF!</v>
      </c>
      <c r="CJ9" s="136" t="e">
        <f>#REF!</f>
        <v>#REF!</v>
      </c>
      <c r="CK9" s="136" t="e">
        <f>#REF!</f>
        <v>#REF!</v>
      </c>
      <c r="CL9" s="136" t="e">
        <f>#REF!</f>
        <v>#REF!</v>
      </c>
      <c r="CM9" s="136" t="e">
        <f>#REF!</f>
        <v>#REF!</v>
      </c>
      <c r="CN9" s="136" t="e">
        <f>#REF!</f>
        <v>#REF!</v>
      </c>
      <c r="CO9" s="136" t="e">
        <f>#REF!</f>
        <v>#REF!</v>
      </c>
      <c r="CP9" t="e">
        <f>#REF!</f>
        <v>#REF!</v>
      </c>
      <c r="CQ9" t="e">
        <f>#REF!</f>
        <v>#REF!</v>
      </c>
      <c r="CR9" t="e">
        <f>#REF!</f>
        <v>#REF!</v>
      </c>
      <c r="CS9" t="e">
        <f>#REF!</f>
        <v>#REF!</v>
      </c>
      <c r="CT9" t="e">
        <f>#REF!</f>
        <v>#REF!</v>
      </c>
      <c r="CU9" t="e">
        <f>#REF!</f>
        <v>#REF!</v>
      </c>
      <c r="CV9" t="e">
        <f>#REF!</f>
        <v>#REF!</v>
      </c>
      <c r="CW9" t="e">
        <f>#REF!</f>
        <v>#REF!</v>
      </c>
      <c r="CX9" t="e">
        <f>#REF!</f>
        <v>#REF!</v>
      </c>
      <c r="CY9" t="e">
        <f>#REF!</f>
        <v>#REF!</v>
      </c>
      <c r="CZ9" t="e">
        <f>#REF!</f>
        <v>#REF!</v>
      </c>
      <c r="DA9" t="e">
        <f>#REF!</f>
        <v>#REF!</v>
      </c>
      <c r="DB9" t="e">
        <f>#REF!</f>
        <v>#REF!</v>
      </c>
      <c r="DC9" t="e">
        <f>#REF!</f>
        <v>#REF!</v>
      </c>
      <c r="DD9" t="e">
        <f>#REF!</f>
        <v>#REF!</v>
      </c>
      <c r="DE9" t="e">
        <f>#REF!</f>
        <v>#REF!</v>
      </c>
      <c r="DF9" t="e">
        <f>#REF!</f>
        <v>#REF!</v>
      </c>
      <c r="DG9" t="e">
        <f>#REF!</f>
        <v>#REF!</v>
      </c>
      <c r="DH9" t="e">
        <f>#REF!</f>
        <v>#REF!</v>
      </c>
      <c r="DI9" t="e">
        <f>#REF!</f>
        <v>#REF!</v>
      </c>
      <c r="DJ9" t="e">
        <f>#REF!</f>
        <v>#REF!</v>
      </c>
      <c r="DK9" t="e">
        <f>#REF!</f>
        <v>#REF!</v>
      </c>
      <c r="DL9" t="e">
        <f>#REF!</f>
        <v>#REF!</v>
      </c>
      <c r="DM9" t="e">
        <f>#REF!</f>
        <v>#REF!</v>
      </c>
      <c r="DN9" t="e">
        <f>#REF!</f>
        <v>#REF!</v>
      </c>
      <c r="DO9" t="e">
        <f>#REF!</f>
        <v>#REF!</v>
      </c>
      <c r="DP9" t="e">
        <f>#REF!</f>
        <v>#REF!</v>
      </c>
      <c r="DQ9" t="e">
        <f>#REF!</f>
        <v>#REF!</v>
      </c>
      <c r="DR9" t="e">
        <f>#REF!</f>
        <v>#REF!</v>
      </c>
      <c r="DS9" t="e">
        <f>#REF!</f>
        <v>#REF!</v>
      </c>
      <c r="DT9" t="e">
        <f>#REF!</f>
        <v>#REF!</v>
      </c>
      <c r="DU9" t="e">
        <f>#REF!</f>
        <v>#REF!</v>
      </c>
      <c r="DV9" t="e">
        <f>#REF!</f>
        <v>#REF!</v>
      </c>
      <c r="DW9" t="e">
        <f>#REF!</f>
        <v>#REF!</v>
      </c>
      <c r="DX9" t="e">
        <f>#REF!</f>
        <v>#REF!</v>
      </c>
      <c r="DY9" t="e">
        <f>#REF!</f>
        <v>#REF!</v>
      </c>
      <c r="DZ9" t="e">
        <f>#REF!</f>
        <v>#REF!</v>
      </c>
      <c r="EA9" t="e">
        <f>#REF!</f>
        <v>#REF!</v>
      </c>
      <c r="EB9" t="e">
        <f>#REF!</f>
        <v>#REF!</v>
      </c>
      <c r="EC9" t="e">
        <f>#REF!</f>
        <v>#REF!</v>
      </c>
      <c r="ED9" t="e">
        <f>#REF!</f>
        <v>#REF!</v>
      </c>
      <c r="EE9" t="e">
        <f>#REF!</f>
        <v>#REF!</v>
      </c>
      <c r="EF9" t="e">
        <f>#REF!</f>
        <v>#REF!</v>
      </c>
      <c r="EG9" t="e">
        <f>#REF!</f>
        <v>#REF!</v>
      </c>
      <c r="EH9" t="e">
        <f>#REF!</f>
        <v>#REF!</v>
      </c>
      <c r="EI9" t="e">
        <f>#REF!</f>
        <v>#REF!</v>
      </c>
      <c r="EJ9" t="e">
        <f>#REF!</f>
        <v>#REF!</v>
      </c>
      <c r="EK9" t="e">
        <f>#REF!</f>
        <v>#REF!</v>
      </c>
      <c r="EL9" t="e">
        <f>#REF!</f>
        <v>#REF!</v>
      </c>
      <c r="EM9" t="e">
        <f>#REF!</f>
        <v>#REF!</v>
      </c>
      <c r="EN9" t="e">
        <f>#REF!</f>
        <v>#REF!</v>
      </c>
      <c r="EO9" t="e">
        <f>#REF!</f>
        <v>#REF!</v>
      </c>
      <c r="EP9" t="e">
        <f>#REF!</f>
        <v>#REF!</v>
      </c>
      <c r="EQ9" t="e">
        <f>#REF!</f>
        <v>#REF!</v>
      </c>
      <c r="ER9" t="e">
        <f>#REF!</f>
        <v>#REF!</v>
      </c>
      <c r="ES9" t="e">
        <f>#REF!</f>
        <v>#REF!</v>
      </c>
      <c r="ET9" t="e">
        <f>#REF!</f>
        <v>#REF!</v>
      </c>
      <c r="EU9" t="e">
        <f>#REF!</f>
        <v>#REF!</v>
      </c>
      <c r="EV9" t="e">
        <f>#REF!</f>
        <v>#REF!</v>
      </c>
      <c r="EW9" t="e">
        <f>#REF!</f>
        <v>#REF!</v>
      </c>
      <c r="EX9" t="e">
        <f>#REF!</f>
        <v>#REF!</v>
      </c>
      <c r="EY9" t="e">
        <f>#REF!</f>
        <v>#REF!</v>
      </c>
      <c r="EZ9" t="e">
        <f>#REF!</f>
        <v>#REF!</v>
      </c>
      <c r="FA9" t="e">
        <f>#REF!</f>
        <v>#REF!</v>
      </c>
      <c r="FB9" t="e">
        <f>#REF!</f>
        <v>#REF!</v>
      </c>
      <c r="FC9" t="e">
        <f>#REF!</f>
        <v>#REF!</v>
      </c>
      <c r="FD9" t="e">
        <f>#REF!</f>
        <v>#REF!</v>
      </c>
      <c r="FE9" t="e">
        <f>#REF!</f>
        <v>#REF!</v>
      </c>
      <c r="FF9" t="e">
        <f>#REF!</f>
        <v>#REF!</v>
      </c>
      <c r="FG9" t="e">
        <f>#REF!</f>
        <v>#REF!</v>
      </c>
      <c r="FH9" t="e">
        <f>#REF!</f>
        <v>#REF!</v>
      </c>
      <c r="FI9" t="e">
        <f>#REF!</f>
        <v>#REF!</v>
      </c>
      <c r="FJ9" t="e">
        <f>#REF!</f>
        <v>#REF!</v>
      </c>
      <c r="FK9" t="e">
        <f>#REF!</f>
        <v>#REF!</v>
      </c>
      <c r="FL9" t="e">
        <f>#REF!</f>
        <v>#REF!</v>
      </c>
      <c r="FM9" t="e">
        <f>#REF!</f>
        <v>#REF!</v>
      </c>
      <c r="FN9" t="e">
        <f>#REF!</f>
        <v>#REF!</v>
      </c>
    </row>
    <row r="10" spans="1:170" ht="15" x14ac:dyDescent="0.25">
      <c r="A10" s="619">
        <v>1</v>
      </c>
      <c r="B10" s="133" t="e">
        <f>RIGHT(#REF!,LEN(#REF!)-(FIND("Standards",#REF!,1)+9))</f>
        <v>#REF!</v>
      </c>
      <c r="C10" s="620" t="e">
        <f>#REF!</f>
        <v>#REF!</v>
      </c>
      <c r="D10" s="620">
        <v>72686</v>
      </c>
      <c r="E10" s="621" t="e">
        <f>#REF!</f>
        <v>#REF!</v>
      </c>
      <c r="F10" s="621" t="e">
        <f>#REF!</f>
        <v>#REF!</v>
      </c>
      <c r="G10" s="619" t="e">
        <f>#REF!</f>
        <v>#REF!</v>
      </c>
      <c r="H10" s="619" t="e">
        <f>#REF!</f>
        <v>#REF!</v>
      </c>
      <c r="I10" s="621" t="e">
        <f>#REF!</f>
        <v>#REF!</v>
      </c>
      <c r="J10" s="619" t="e">
        <f>#REF!</f>
        <v>#REF!</v>
      </c>
      <c r="K10" s="621" t="e">
        <f>#REF!</f>
        <v>#REF!</v>
      </c>
      <c r="L10" s="622" t="e">
        <f>#REF!</f>
        <v>#REF!</v>
      </c>
      <c r="M10" s="622" t="e">
        <f>#REF!</f>
        <v>#REF!</v>
      </c>
      <c r="N10" t="e">
        <f>#REF!</f>
        <v>#REF!</v>
      </c>
      <c r="O10" t="e">
        <f>#REF!</f>
        <v>#REF!</v>
      </c>
      <c r="P10" t="e">
        <f>#REF!</f>
        <v>#REF!</v>
      </c>
      <c r="Q10" s="136" t="e">
        <f>#REF!</f>
        <v>#REF!</v>
      </c>
      <c r="R10" s="136" t="e">
        <f>#REF!</f>
        <v>#REF!</v>
      </c>
      <c r="S10" s="136" t="e">
        <f>#REF!</f>
        <v>#REF!</v>
      </c>
      <c r="T10" s="136" t="e">
        <f>#REF!</f>
        <v>#REF!</v>
      </c>
      <c r="U10" s="136" t="e">
        <f>#REF!</f>
        <v>#REF!</v>
      </c>
      <c r="V10" s="136" t="e">
        <f>#REF!</f>
        <v>#REF!</v>
      </c>
      <c r="W10" s="136" t="e">
        <f>#REF!</f>
        <v>#REF!</v>
      </c>
      <c r="X10" s="136" t="e">
        <f>#REF!</f>
        <v>#REF!</v>
      </c>
      <c r="Y10" s="136" t="e">
        <f>#REF!</f>
        <v>#REF!</v>
      </c>
      <c r="Z10" s="136" t="e">
        <f>#REF!</f>
        <v>#REF!</v>
      </c>
      <c r="AA10" s="136" t="e">
        <f>#REF!</f>
        <v>#REF!</v>
      </c>
      <c r="AB10" s="136" t="e">
        <f>#REF!</f>
        <v>#REF!</v>
      </c>
      <c r="AC10" s="136" t="e">
        <f>#REF!</f>
        <v>#REF!</v>
      </c>
      <c r="AD10" s="136" t="e">
        <f>#REF!</f>
        <v>#REF!</v>
      </c>
      <c r="AE10" s="136" t="e">
        <f>#REF!</f>
        <v>#REF!</v>
      </c>
      <c r="AF10" s="136" t="e">
        <f>#REF!</f>
        <v>#REF!</v>
      </c>
      <c r="AG10" s="136" t="e">
        <f>#REF!</f>
        <v>#REF!</v>
      </c>
      <c r="AH10" s="136" t="e">
        <f>#REF!</f>
        <v>#REF!</v>
      </c>
      <c r="AI10" s="136" t="e">
        <f>#REF!</f>
        <v>#REF!</v>
      </c>
      <c r="AJ10" s="136" t="e">
        <f>#REF!</f>
        <v>#REF!</v>
      </c>
      <c r="AK10" s="136" t="e">
        <f>#REF!</f>
        <v>#REF!</v>
      </c>
      <c r="AL10" s="136"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s="137" t="e">
        <f>#REF!</f>
        <v>#REF!</v>
      </c>
      <c r="BO10" s="137" t="e">
        <f>#REF!</f>
        <v>#REF!</v>
      </c>
      <c r="BP10" s="137" t="e">
        <f>#REF!</f>
        <v>#REF!</v>
      </c>
      <c r="BQ10" s="137" t="e">
        <f>#REF!</f>
        <v>#REF!</v>
      </c>
      <c r="BR10" s="137" t="e">
        <f>#REF!</f>
        <v>#REF!</v>
      </c>
      <c r="BS10" s="137" t="e">
        <f>#REF!</f>
        <v>#REF!</v>
      </c>
      <c r="BT10" s="137" t="e">
        <f>#REF!</f>
        <v>#REF!</v>
      </c>
      <c r="BU10" s="137" t="e">
        <f>#REF!</f>
        <v>#REF!</v>
      </c>
      <c r="BV10" s="137" t="e">
        <f>#REF!</f>
        <v>#REF!</v>
      </c>
      <c r="BW10" s="137" t="e">
        <f>#REF!</f>
        <v>#REF!</v>
      </c>
      <c r="BX10" s="137" t="e">
        <f>#REF!</f>
        <v>#REF!</v>
      </c>
      <c r="BY10" s="137" t="e">
        <f>#REF!</f>
        <v>#REF!</v>
      </c>
      <c r="BZ10" s="137" t="e">
        <f>#REF!</f>
        <v>#REF!</v>
      </c>
      <c r="CA10" s="137" t="e">
        <f>#REF!</f>
        <v>#REF!</v>
      </c>
      <c r="CB10" t="e">
        <f>#REF!</f>
        <v>#REF!</v>
      </c>
      <c r="CC10" t="e">
        <f>#REF!</f>
        <v>#REF!</v>
      </c>
      <c r="CD10" t="e">
        <f>#REF!</f>
        <v>#REF!</v>
      </c>
      <c r="CE10" t="e">
        <f>#REF!</f>
        <v>#REF!</v>
      </c>
      <c r="CF10" t="e">
        <f>#REF!</f>
        <v>#REF!</v>
      </c>
      <c r="CG10" t="e">
        <f>#REF!</f>
        <v>#REF!</v>
      </c>
      <c r="CH10" t="e">
        <f>#REF!</f>
        <v>#REF!</v>
      </c>
      <c r="CI10" t="e">
        <f>#REF!</f>
        <v>#REF!</v>
      </c>
      <c r="CJ10" s="136" t="e">
        <f>#REF!</f>
        <v>#REF!</v>
      </c>
      <c r="CK10" s="136" t="e">
        <f>#REF!</f>
        <v>#REF!</v>
      </c>
      <c r="CL10" s="136" t="e">
        <f>#REF!</f>
        <v>#REF!</v>
      </c>
      <c r="CM10" s="136" t="e">
        <f>#REF!</f>
        <v>#REF!</v>
      </c>
      <c r="CN10" s="136" t="e">
        <f>#REF!</f>
        <v>#REF!</v>
      </c>
      <c r="CO10" s="136" t="e">
        <f>#REF!</f>
        <v>#REF!</v>
      </c>
      <c r="CP10" t="e">
        <f>#REF!</f>
        <v>#REF!</v>
      </c>
      <c r="CQ10" t="e">
        <f>#REF!</f>
        <v>#REF!</v>
      </c>
      <c r="CR10" t="e">
        <f>#REF!</f>
        <v>#REF!</v>
      </c>
      <c r="CS10" t="e">
        <f>#REF!</f>
        <v>#REF!</v>
      </c>
      <c r="CT10" t="e">
        <f>#REF!</f>
        <v>#REF!</v>
      </c>
      <c r="CU10" t="e">
        <f>#REF!</f>
        <v>#REF!</v>
      </c>
      <c r="CV10" t="e">
        <f>#REF!</f>
        <v>#REF!</v>
      </c>
      <c r="CW10" t="e">
        <f>#REF!</f>
        <v>#REF!</v>
      </c>
      <c r="CX10" t="e">
        <f>#REF!</f>
        <v>#REF!</v>
      </c>
      <c r="CY10" t="e">
        <f>#REF!</f>
        <v>#REF!</v>
      </c>
      <c r="CZ10" t="e">
        <f>#REF!</f>
        <v>#REF!</v>
      </c>
      <c r="DA10" t="e">
        <f>#REF!</f>
        <v>#REF!</v>
      </c>
      <c r="DB10" t="e">
        <f>#REF!</f>
        <v>#REF!</v>
      </c>
      <c r="DC10" t="e">
        <f>#REF!</f>
        <v>#REF!</v>
      </c>
      <c r="DD10" t="e">
        <f>#REF!</f>
        <v>#REF!</v>
      </c>
      <c r="DE10" t="e">
        <f>#REF!</f>
        <v>#REF!</v>
      </c>
      <c r="DF10" t="e">
        <f>#REF!</f>
        <v>#REF!</v>
      </c>
      <c r="DG10" t="e">
        <f>#REF!</f>
        <v>#REF!</v>
      </c>
      <c r="DH10" t="e">
        <f>#REF!</f>
        <v>#REF!</v>
      </c>
      <c r="DI10" t="e">
        <f>#REF!</f>
        <v>#REF!</v>
      </c>
      <c r="DJ10" t="e">
        <f>#REF!</f>
        <v>#REF!</v>
      </c>
      <c r="DK10" t="e">
        <f>#REF!</f>
        <v>#REF!</v>
      </c>
      <c r="DL10" t="e">
        <f>#REF!</f>
        <v>#REF!</v>
      </c>
      <c r="DM10" t="e">
        <f>#REF!</f>
        <v>#REF!</v>
      </c>
      <c r="DN10" t="e">
        <f>#REF!</f>
        <v>#REF!</v>
      </c>
      <c r="DO10" t="e">
        <f>#REF!</f>
        <v>#REF!</v>
      </c>
      <c r="DP10" t="e">
        <f>#REF!</f>
        <v>#REF!</v>
      </c>
      <c r="DQ10" t="e">
        <f>#REF!</f>
        <v>#REF!</v>
      </c>
      <c r="DR10" t="e">
        <f>#REF!</f>
        <v>#REF!</v>
      </c>
      <c r="DS10" t="e">
        <f>#REF!</f>
        <v>#REF!</v>
      </c>
      <c r="DT10" t="e">
        <f>#REF!</f>
        <v>#REF!</v>
      </c>
      <c r="DU10" t="e">
        <f>#REF!</f>
        <v>#REF!</v>
      </c>
      <c r="DV10" t="e">
        <f>#REF!</f>
        <v>#REF!</v>
      </c>
      <c r="DW10" t="e">
        <f>#REF!</f>
        <v>#REF!</v>
      </c>
      <c r="DX10" t="e">
        <f>#REF!</f>
        <v>#REF!</v>
      </c>
      <c r="DY10" t="e">
        <f>#REF!</f>
        <v>#REF!</v>
      </c>
      <c r="DZ10" t="e">
        <f>#REF!</f>
        <v>#REF!</v>
      </c>
      <c r="EA10" t="e">
        <f>#REF!</f>
        <v>#REF!</v>
      </c>
      <c r="EB10" t="e">
        <f>#REF!</f>
        <v>#REF!</v>
      </c>
      <c r="EC10" t="e">
        <f>#REF!</f>
        <v>#REF!</v>
      </c>
      <c r="ED10" t="e">
        <f>#REF!</f>
        <v>#REF!</v>
      </c>
      <c r="EE10" t="e">
        <f>#REF!</f>
        <v>#REF!</v>
      </c>
      <c r="EF10" t="e">
        <f>#REF!</f>
        <v>#REF!</v>
      </c>
      <c r="EG10" t="e">
        <f>#REF!</f>
        <v>#REF!</v>
      </c>
      <c r="EH10" t="e">
        <f>#REF!</f>
        <v>#REF!</v>
      </c>
      <c r="EI10" t="e">
        <f>#REF!</f>
        <v>#REF!</v>
      </c>
      <c r="EJ10" t="e">
        <f>#REF!</f>
        <v>#REF!</v>
      </c>
      <c r="EK10" t="e">
        <f>#REF!</f>
        <v>#REF!</v>
      </c>
      <c r="EL10" t="e">
        <f>#REF!</f>
        <v>#REF!</v>
      </c>
      <c r="EM10" t="e">
        <f>#REF!</f>
        <v>#REF!</v>
      </c>
      <c r="EN10" t="e">
        <f>#REF!</f>
        <v>#REF!</v>
      </c>
      <c r="EO10" t="e">
        <f>#REF!</f>
        <v>#REF!</v>
      </c>
      <c r="EP10" t="e">
        <f>#REF!</f>
        <v>#REF!</v>
      </c>
      <c r="EQ10" t="e">
        <f>#REF!</f>
        <v>#REF!</v>
      </c>
      <c r="ER10" t="e">
        <f>#REF!</f>
        <v>#REF!</v>
      </c>
      <c r="ES10" t="e">
        <f>#REF!</f>
        <v>#REF!</v>
      </c>
      <c r="ET10" t="e">
        <f>#REF!</f>
        <v>#REF!</v>
      </c>
      <c r="EU10" t="e">
        <f>#REF!</f>
        <v>#REF!</v>
      </c>
      <c r="EV10" t="e">
        <f>#REF!</f>
        <v>#REF!</v>
      </c>
      <c r="EW10" t="e">
        <f>#REF!</f>
        <v>#REF!</v>
      </c>
      <c r="EX10" t="e">
        <f>#REF!</f>
        <v>#REF!</v>
      </c>
      <c r="EY10" t="e">
        <f>#REF!</f>
        <v>#REF!</v>
      </c>
      <c r="EZ10" t="e">
        <f>#REF!</f>
        <v>#REF!</v>
      </c>
      <c r="FA10" t="e">
        <f>#REF!</f>
        <v>#REF!</v>
      </c>
      <c r="FB10" t="e">
        <f>#REF!</f>
        <v>#REF!</v>
      </c>
      <c r="FC10" t="e">
        <f>#REF!</f>
        <v>#REF!</v>
      </c>
      <c r="FD10" t="e">
        <f>#REF!</f>
        <v>#REF!</v>
      </c>
      <c r="FE10" t="e">
        <f>#REF!</f>
        <v>#REF!</v>
      </c>
      <c r="FF10" t="e">
        <f>#REF!</f>
        <v>#REF!</v>
      </c>
      <c r="FG10" t="e">
        <f>#REF!</f>
        <v>#REF!</v>
      </c>
      <c r="FH10" t="e">
        <f>#REF!</f>
        <v>#REF!</v>
      </c>
      <c r="FI10" t="e">
        <f>#REF!</f>
        <v>#REF!</v>
      </c>
      <c r="FJ10" t="e">
        <f>#REF!</f>
        <v>#REF!</v>
      </c>
      <c r="FK10" t="e">
        <f>#REF!</f>
        <v>#REF!</v>
      </c>
      <c r="FL10" t="e">
        <f>#REF!</f>
        <v>#REF!</v>
      </c>
      <c r="FM10" t="e">
        <f>#REF!</f>
        <v>#REF!</v>
      </c>
      <c r="FN10" t="e">
        <f>#REF!</f>
        <v>#REF!</v>
      </c>
    </row>
    <row r="11" spans="1:170" ht="15" x14ac:dyDescent="0.25">
      <c r="A11" s="619">
        <v>1</v>
      </c>
      <c r="B11" s="133" t="e">
        <f>RIGHT(#REF!,LEN(#REF!)-(FIND("Standards",#REF!,1)+9))</f>
        <v>#REF!</v>
      </c>
      <c r="C11" s="620" t="e">
        <f>#REF!</f>
        <v>#REF!</v>
      </c>
      <c r="D11" s="620">
        <v>72686</v>
      </c>
      <c r="E11" s="621" t="e">
        <f>#REF!</f>
        <v>#REF!</v>
      </c>
      <c r="F11" s="621" t="e">
        <f>#REF!</f>
        <v>#REF!</v>
      </c>
      <c r="G11" s="619" t="e">
        <f>#REF!</f>
        <v>#REF!</v>
      </c>
      <c r="H11" s="619" t="e">
        <f>#REF!</f>
        <v>#REF!</v>
      </c>
      <c r="I11" s="621" t="e">
        <f>#REF!</f>
        <v>#REF!</v>
      </c>
      <c r="J11" s="619" t="e">
        <f>#REF!</f>
        <v>#REF!</v>
      </c>
      <c r="K11" s="621" t="e">
        <f>#REF!</f>
        <v>#REF!</v>
      </c>
      <c r="L11" s="622" t="e">
        <f>#REF!</f>
        <v>#REF!</v>
      </c>
      <c r="M11" s="622" t="e">
        <f>#REF!</f>
        <v>#REF!</v>
      </c>
      <c r="N11" t="e">
        <f>#REF!</f>
        <v>#REF!</v>
      </c>
      <c r="O11" t="e">
        <f>#REF!</f>
        <v>#REF!</v>
      </c>
      <c r="P11" t="e">
        <f>#REF!</f>
        <v>#REF!</v>
      </c>
      <c r="Q11" s="136" t="e">
        <f>#REF!</f>
        <v>#REF!</v>
      </c>
      <c r="R11" s="136" t="e">
        <f>#REF!</f>
        <v>#REF!</v>
      </c>
      <c r="S11" s="136" t="e">
        <f>#REF!</f>
        <v>#REF!</v>
      </c>
      <c r="T11" s="136" t="e">
        <f>#REF!</f>
        <v>#REF!</v>
      </c>
      <c r="U11" s="136" t="e">
        <f>#REF!</f>
        <v>#REF!</v>
      </c>
      <c r="V11" s="136" t="e">
        <f>#REF!</f>
        <v>#REF!</v>
      </c>
      <c r="W11" s="136" t="e">
        <f>#REF!</f>
        <v>#REF!</v>
      </c>
      <c r="X11" s="136" t="e">
        <f>#REF!</f>
        <v>#REF!</v>
      </c>
      <c r="Y11" s="136" t="e">
        <f>#REF!</f>
        <v>#REF!</v>
      </c>
      <c r="Z11" s="136" t="e">
        <f>#REF!</f>
        <v>#REF!</v>
      </c>
      <c r="AA11" s="136" t="e">
        <f>#REF!</f>
        <v>#REF!</v>
      </c>
      <c r="AB11" s="136" t="e">
        <f>#REF!</f>
        <v>#REF!</v>
      </c>
      <c r="AC11" s="136" t="e">
        <f>#REF!</f>
        <v>#REF!</v>
      </c>
      <c r="AD11" s="136" t="e">
        <f>#REF!</f>
        <v>#REF!</v>
      </c>
      <c r="AE11" s="136" t="e">
        <f>#REF!</f>
        <v>#REF!</v>
      </c>
      <c r="AF11" s="136" t="e">
        <f>#REF!</f>
        <v>#REF!</v>
      </c>
      <c r="AG11" s="136" t="e">
        <f>#REF!</f>
        <v>#REF!</v>
      </c>
      <c r="AH11" s="136" t="e">
        <f>#REF!</f>
        <v>#REF!</v>
      </c>
      <c r="AI11" s="136" t="e">
        <f>#REF!</f>
        <v>#REF!</v>
      </c>
      <c r="AJ11" s="136" t="e">
        <f>#REF!</f>
        <v>#REF!</v>
      </c>
      <c r="AK11" s="136" t="e">
        <f>#REF!</f>
        <v>#REF!</v>
      </c>
      <c r="AL11" s="136"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s="137" t="e">
        <f>#REF!</f>
        <v>#REF!</v>
      </c>
      <c r="BO11" s="137" t="e">
        <f>#REF!</f>
        <v>#REF!</v>
      </c>
      <c r="BP11" s="137" t="e">
        <f>#REF!</f>
        <v>#REF!</v>
      </c>
      <c r="BQ11" s="137" t="e">
        <f>#REF!</f>
        <v>#REF!</v>
      </c>
      <c r="BR11" s="137" t="e">
        <f>#REF!</f>
        <v>#REF!</v>
      </c>
      <c r="BS11" s="137" t="e">
        <f>#REF!</f>
        <v>#REF!</v>
      </c>
      <c r="BT11" s="137" t="e">
        <f>#REF!</f>
        <v>#REF!</v>
      </c>
      <c r="BU11" s="137" t="e">
        <f>#REF!</f>
        <v>#REF!</v>
      </c>
      <c r="BV11" s="137" t="e">
        <f>#REF!</f>
        <v>#REF!</v>
      </c>
      <c r="BW11" s="137" t="e">
        <f>#REF!</f>
        <v>#REF!</v>
      </c>
      <c r="BX11" s="137" t="e">
        <f>#REF!</f>
        <v>#REF!</v>
      </c>
      <c r="BY11" s="137" t="e">
        <f>#REF!</f>
        <v>#REF!</v>
      </c>
      <c r="BZ11" s="137" t="e">
        <f>#REF!</f>
        <v>#REF!</v>
      </c>
      <c r="CA11" s="137" t="e">
        <f>#REF!</f>
        <v>#REF!</v>
      </c>
      <c r="CB11" t="e">
        <f>#REF!</f>
        <v>#REF!</v>
      </c>
      <c r="CC11" t="e">
        <f>#REF!</f>
        <v>#REF!</v>
      </c>
      <c r="CD11" t="e">
        <f>#REF!</f>
        <v>#REF!</v>
      </c>
      <c r="CE11" t="e">
        <f>#REF!</f>
        <v>#REF!</v>
      </c>
      <c r="CF11" t="e">
        <f>#REF!</f>
        <v>#REF!</v>
      </c>
      <c r="CG11" t="e">
        <f>#REF!</f>
        <v>#REF!</v>
      </c>
      <c r="CH11" t="e">
        <f>#REF!</f>
        <v>#REF!</v>
      </c>
      <c r="CI11" t="e">
        <f>#REF!</f>
        <v>#REF!</v>
      </c>
      <c r="CJ11" s="136" t="e">
        <f>#REF!</f>
        <v>#REF!</v>
      </c>
      <c r="CK11" s="136" t="e">
        <f>#REF!</f>
        <v>#REF!</v>
      </c>
      <c r="CL11" s="136" t="e">
        <f>#REF!</f>
        <v>#REF!</v>
      </c>
      <c r="CM11" s="136" t="e">
        <f>#REF!</f>
        <v>#REF!</v>
      </c>
      <c r="CN11" s="136" t="e">
        <f>#REF!</f>
        <v>#REF!</v>
      </c>
      <c r="CO11" s="136" t="e">
        <f>#REF!</f>
        <v>#REF!</v>
      </c>
      <c r="CP11" t="e">
        <f>#REF!</f>
        <v>#REF!</v>
      </c>
      <c r="CQ11" t="e">
        <f>#REF!</f>
        <v>#REF!</v>
      </c>
      <c r="CR11" t="e">
        <f>#REF!</f>
        <v>#REF!</v>
      </c>
      <c r="CS11" t="e">
        <f>#REF!</f>
        <v>#REF!</v>
      </c>
      <c r="CT11" t="e">
        <f>#REF!</f>
        <v>#REF!</v>
      </c>
      <c r="CU11" t="e">
        <f>#REF!</f>
        <v>#REF!</v>
      </c>
      <c r="CV11" t="e">
        <f>#REF!</f>
        <v>#REF!</v>
      </c>
      <c r="CW11" t="e">
        <f>#REF!</f>
        <v>#REF!</v>
      </c>
      <c r="CX11" t="e">
        <f>#REF!</f>
        <v>#REF!</v>
      </c>
      <c r="CY11" t="e">
        <f>#REF!</f>
        <v>#REF!</v>
      </c>
      <c r="CZ11" t="e">
        <f>#REF!</f>
        <v>#REF!</v>
      </c>
      <c r="DA11" t="e">
        <f>#REF!</f>
        <v>#REF!</v>
      </c>
      <c r="DB11" t="e">
        <f>#REF!</f>
        <v>#REF!</v>
      </c>
      <c r="DC11" t="e">
        <f>#REF!</f>
        <v>#REF!</v>
      </c>
      <c r="DD11" t="e">
        <f>#REF!</f>
        <v>#REF!</v>
      </c>
      <c r="DE11" t="e">
        <f>#REF!</f>
        <v>#REF!</v>
      </c>
      <c r="DF11" t="e">
        <f>#REF!</f>
        <v>#REF!</v>
      </c>
      <c r="DG11" t="e">
        <f>#REF!</f>
        <v>#REF!</v>
      </c>
      <c r="DH11" t="e">
        <f>#REF!</f>
        <v>#REF!</v>
      </c>
      <c r="DI11" t="e">
        <f>#REF!</f>
        <v>#REF!</v>
      </c>
      <c r="DJ11" t="e">
        <f>#REF!</f>
        <v>#REF!</v>
      </c>
      <c r="DK11" t="e">
        <f>#REF!</f>
        <v>#REF!</v>
      </c>
      <c r="DL11" t="e">
        <f>#REF!</f>
        <v>#REF!</v>
      </c>
      <c r="DM11" t="e">
        <f>#REF!</f>
        <v>#REF!</v>
      </c>
      <c r="DN11" t="e">
        <f>#REF!</f>
        <v>#REF!</v>
      </c>
      <c r="DO11" t="e">
        <f>#REF!</f>
        <v>#REF!</v>
      </c>
      <c r="DP11" t="e">
        <f>#REF!</f>
        <v>#REF!</v>
      </c>
      <c r="DQ11" t="e">
        <f>#REF!</f>
        <v>#REF!</v>
      </c>
      <c r="DR11" t="e">
        <f>#REF!</f>
        <v>#REF!</v>
      </c>
      <c r="DS11" t="e">
        <f>#REF!</f>
        <v>#REF!</v>
      </c>
      <c r="DT11" t="e">
        <f>#REF!</f>
        <v>#REF!</v>
      </c>
      <c r="DU11" t="e">
        <f>#REF!</f>
        <v>#REF!</v>
      </c>
      <c r="DV11" t="e">
        <f>#REF!</f>
        <v>#REF!</v>
      </c>
      <c r="DW11" t="e">
        <f>#REF!</f>
        <v>#REF!</v>
      </c>
      <c r="DX11" t="e">
        <f>#REF!</f>
        <v>#REF!</v>
      </c>
      <c r="DY11" t="e">
        <f>#REF!</f>
        <v>#REF!</v>
      </c>
      <c r="DZ11" t="e">
        <f>#REF!</f>
        <v>#REF!</v>
      </c>
      <c r="EA11" t="e">
        <f>#REF!</f>
        <v>#REF!</v>
      </c>
      <c r="EB11" t="e">
        <f>#REF!</f>
        <v>#REF!</v>
      </c>
      <c r="EC11" t="e">
        <f>#REF!</f>
        <v>#REF!</v>
      </c>
      <c r="ED11" t="e">
        <f>#REF!</f>
        <v>#REF!</v>
      </c>
      <c r="EE11" t="e">
        <f>#REF!</f>
        <v>#REF!</v>
      </c>
      <c r="EF11" t="e">
        <f>#REF!</f>
        <v>#REF!</v>
      </c>
      <c r="EG11" t="e">
        <f>#REF!</f>
        <v>#REF!</v>
      </c>
      <c r="EH11" t="e">
        <f>#REF!</f>
        <v>#REF!</v>
      </c>
      <c r="EI11" t="e">
        <f>#REF!</f>
        <v>#REF!</v>
      </c>
      <c r="EJ11" t="e">
        <f>#REF!</f>
        <v>#REF!</v>
      </c>
      <c r="EK11" t="e">
        <f>#REF!</f>
        <v>#REF!</v>
      </c>
      <c r="EL11" t="e">
        <f>#REF!</f>
        <v>#REF!</v>
      </c>
      <c r="EM11" t="e">
        <f>#REF!</f>
        <v>#REF!</v>
      </c>
      <c r="EN11" t="e">
        <f>#REF!</f>
        <v>#REF!</v>
      </c>
      <c r="EO11" t="e">
        <f>#REF!</f>
        <v>#REF!</v>
      </c>
      <c r="EP11" t="e">
        <f>#REF!</f>
        <v>#REF!</v>
      </c>
      <c r="EQ11" t="e">
        <f>#REF!</f>
        <v>#REF!</v>
      </c>
      <c r="ER11" t="e">
        <f>#REF!</f>
        <v>#REF!</v>
      </c>
      <c r="ES11" t="e">
        <f>#REF!</f>
        <v>#REF!</v>
      </c>
      <c r="ET11" t="e">
        <f>#REF!</f>
        <v>#REF!</v>
      </c>
      <c r="EU11" t="e">
        <f>#REF!</f>
        <v>#REF!</v>
      </c>
      <c r="EV11" t="e">
        <f>#REF!</f>
        <v>#REF!</v>
      </c>
      <c r="EW11" t="e">
        <f>#REF!</f>
        <v>#REF!</v>
      </c>
      <c r="EX11" t="e">
        <f>#REF!</f>
        <v>#REF!</v>
      </c>
      <c r="EY11" t="e">
        <f>#REF!</f>
        <v>#REF!</v>
      </c>
      <c r="EZ11" t="e">
        <f>#REF!</f>
        <v>#REF!</v>
      </c>
      <c r="FA11" t="e">
        <f>#REF!</f>
        <v>#REF!</v>
      </c>
      <c r="FB11" t="e">
        <f>#REF!</f>
        <v>#REF!</v>
      </c>
      <c r="FC11" t="e">
        <f>#REF!</f>
        <v>#REF!</v>
      </c>
      <c r="FD11" t="e">
        <f>#REF!</f>
        <v>#REF!</v>
      </c>
      <c r="FE11" t="e">
        <f>#REF!</f>
        <v>#REF!</v>
      </c>
      <c r="FF11" t="e">
        <f>#REF!</f>
        <v>#REF!</v>
      </c>
      <c r="FG11" t="e">
        <f>#REF!</f>
        <v>#REF!</v>
      </c>
      <c r="FH11" t="e">
        <f>#REF!</f>
        <v>#REF!</v>
      </c>
      <c r="FI11" t="e">
        <f>#REF!</f>
        <v>#REF!</v>
      </c>
      <c r="FJ11" t="e">
        <f>#REF!</f>
        <v>#REF!</v>
      </c>
      <c r="FK11" t="e">
        <f>#REF!</f>
        <v>#REF!</v>
      </c>
      <c r="FL11" t="e">
        <f>#REF!</f>
        <v>#REF!</v>
      </c>
      <c r="FM11" t="e">
        <f>#REF!</f>
        <v>#REF!</v>
      </c>
      <c r="FN11" t="e">
        <f>#REF!</f>
        <v>#REF!</v>
      </c>
    </row>
    <row r="12" spans="1:170" ht="15" x14ac:dyDescent="0.25">
      <c r="A12" s="619">
        <v>1</v>
      </c>
      <c r="B12" s="133" t="e">
        <f>RIGHT(#REF!,LEN(#REF!)-(FIND("Standards",#REF!,1)+9))</f>
        <v>#REF!</v>
      </c>
      <c r="C12" s="620" t="e">
        <f>#REF!</f>
        <v>#REF!</v>
      </c>
      <c r="D12" s="620">
        <v>72686</v>
      </c>
      <c r="E12" s="621" t="e">
        <f>#REF!</f>
        <v>#REF!</v>
      </c>
      <c r="F12" s="621" t="e">
        <f>#REF!</f>
        <v>#REF!</v>
      </c>
      <c r="G12" s="619" t="e">
        <f>#REF!</f>
        <v>#REF!</v>
      </c>
      <c r="H12" s="619" t="e">
        <f>#REF!</f>
        <v>#REF!</v>
      </c>
      <c r="I12" s="621" t="e">
        <f>#REF!</f>
        <v>#REF!</v>
      </c>
      <c r="J12" s="619" t="e">
        <f>#REF!</f>
        <v>#REF!</v>
      </c>
      <c r="K12" s="621" t="e">
        <f>#REF!</f>
        <v>#REF!</v>
      </c>
      <c r="L12" s="622" t="e">
        <f>#REF!</f>
        <v>#REF!</v>
      </c>
      <c r="M12" s="622" t="e">
        <f>#REF!</f>
        <v>#REF!</v>
      </c>
      <c r="N12" t="e">
        <f>#REF!</f>
        <v>#REF!</v>
      </c>
      <c r="O12" t="e">
        <f>#REF!</f>
        <v>#REF!</v>
      </c>
      <c r="P12" t="e">
        <f>#REF!</f>
        <v>#REF!</v>
      </c>
      <c r="Q12" s="136" t="e">
        <f>#REF!</f>
        <v>#REF!</v>
      </c>
      <c r="R12" s="136" t="e">
        <f>#REF!</f>
        <v>#REF!</v>
      </c>
      <c r="S12" s="136" t="e">
        <f>#REF!</f>
        <v>#REF!</v>
      </c>
      <c r="T12" s="136" t="e">
        <f>#REF!</f>
        <v>#REF!</v>
      </c>
      <c r="U12" s="136" t="e">
        <f>#REF!</f>
        <v>#REF!</v>
      </c>
      <c r="V12" s="136" t="e">
        <f>#REF!</f>
        <v>#REF!</v>
      </c>
      <c r="W12" s="136" t="e">
        <f>#REF!</f>
        <v>#REF!</v>
      </c>
      <c r="X12" s="136" t="e">
        <f>#REF!</f>
        <v>#REF!</v>
      </c>
      <c r="Y12" s="136" t="e">
        <f>#REF!</f>
        <v>#REF!</v>
      </c>
      <c r="Z12" s="136" t="e">
        <f>#REF!</f>
        <v>#REF!</v>
      </c>
      <c r="AA12" s="136" t="e">
        <f>#REF!</f>
        <v>#REF!</v>
      </c>
      <c r="AB12" s="136" t="e">
        <f>#REF!</f>
        <v>#REF!</v>
      </c>
      <c r="AC12" s="136" t="e">
        <f>#REF!</f>
        <v>#REF!</v>
      </c>
      <c r="AD12" s="136" t="e">
        <f>#REF!</f>
        <v>#REF!</v>
      </c>
      <c r="AE12" s="136" t="e">
        <f>#REF!</f>
        <v>#REF!</v>
      </c>
      <c r="AF12" s="136" t="e">
        <f>#REF!</f>
        <v>#REF!</v>
      </c>
      <c r="AG12" s="136" t="e">
        <f>#REF!</f>
        <v>#REF!</v>
      </c>
      <c r="AH12" s="136" t="e">
        <f>#REF!</f>
        <v>#REF!</v>
      </c>
      <c r="AI12" s="136" t="e">
        <f>#REF!</f>
        <v>#REF!</v>
      </c>
      <c r="AJ12" s="136" t="e">
        <f>#REF!</f>
        <v>#REF!</v>
      </c>
      <c r="AK12" s="136" t="e">
        <f>#REF!</f>
        <v>#REF!</v>
      </c>
      <c r="AL12" s="136"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s="137" t="e">
        <f>#REF!</f>
        <v>#REF!</v>
      </c>
      <c r="BO12" s="137" t="e">
        <f>#REF!</f>
        <v>#REF!</v>
      </c>
      <c r="BP12" s="137" t="e">
        <f>#REF!</f>
        <v>#REF!</v>
      </c>
      <c r="BQ12" s="137" t="e">
        <f>#REF!</f>
        <v>#REF!</v>
      </c>
      <c r="BR12" s="137" t="e">
        <f>#REF!</f>
        <v>#REF!</v>
      </c>
      <c r="BS12" s="137" t="e">
        <f>#REF!</f>
        <v>#REF!</v>
      </c>
      <c r="BT12" s="137" t="e">
        <f>#REF!</f>
        <v>#REF!</v>
      </c>
      <c r="BU12" s="137" t="e">
        <f>#REF!</f>
        <v>#REF!</v>
      </c>
      <c r="BV12" s="137" t="e">
        <f>#REF!</f>
        <v>#REF!</v>
      </c>
      <c r="BW12" s="137" t="e">
        <f>#REF!</f>
        <v>#REF!</v>
      </c>
      <c r="BX12" s="137" t="e">
        <f>#REF!</f>
        <v>#REF!</v>
      </c>
      <c r="BY12" s="137" t="e">
        <f>#REF!</f>
        <v>#REF!</v>
      </c>
      <c r="BZ12" s="137" t="e">
        <f>#REF!</f>
        <v>#REF!</v>
      </c>
      <c r="CA12" s="137" t="e">
        <f>#REF!</f>
        <v>#REF!</v>
      </c>
      <c r="CB12" t="e">
        <f>#REF!</f>
        <v>#REF!</v>
      </c>
      <c r="CC12" t="e">
        <f>#REF!</f>
        <v>#REF!</v>
      </c>
      <c r="CD12" t="e">
        <f>#REF!</f>
        <v>#REF!</v>
      </c>
      <c r="CE12" t="e">
        <f>#REF!</f>
        <v>#REF!</v>
      </c>
      <c r="CF12" t="e">
        <f>#REF!</f>
        <v>#REF!</v>
      </c>
      <c r="CG12" t="e">
        <f>#REF!</f>
        <v>#REF!</v>
      </c>
      <c r="CH12" t="e">
        <f>#REF!</f>
        <v>#REF!</v>
      </c>
      <c r="CI12" t="e">
        <f>#REF!</f>
        <v>#REF!</v>
      </c>
      <c r="CJ12" s="136" t="e">
        <f>#REF!</f>
        <v>#REF!</v>
      </c>
      <c r="CK12" s="136" t="e">
        <f>#REF!</f>
        <v>#REF!</v>
      </c>
      <c r="CL12" s="136" t="e">
        <f>#REF!</f>
        <v>#REF!</v>
      </c>
      <c r="CM12" s="136" t="e">
        <f>#REF!</f>
        <v>#REF!</v>
      </c>
      <c r="CN12" s="136" t="e">
        <f>#REF!</f>
        <v>#REF!</v>
      </c>
      <c r="CO12" s="136" t="e">
        <f>#REF!</f>
        <v>#REF!</v>
      </c>
      <c r="CP12" t="e">
        <f>#REF!</f>
        <v>#REF!</v>
      </c>
      <c r="CQ12" t="e">
        <f>#REF!</f>
        <v>#REF!</v>
      </c>
      <c r="CR12" t="e">
        <f>#REF!</f>
        <v>#REF!</v>
      </c>
      <c r="CS12" t="e">
        <f>#REF!</f>
        <v>#REF!</v>
      </c>
      <c r="CT12" t="e">
        <f>#REF!</f>
        <v>#REF!</v>
      </c>
      <c r="CU12" t="e">
        <f>#REF!</f>
        <v>#REF!</v>
      </c>
      <c r="CV12" t="e">
        <f>#REF!</f>
        <v>#REF!</v>
      </c>
      <c r="CW12" t="e">
        <f>#REF!</f>
        <v>#REF!</v>
      </c>
      <c r="CX12" t="e">
        <f>#REF!</f>
        <v>#REF!</v>
      </c>
      <c r="CY12" t="e">
        <f>#REF!</f>
        <v>#REF!</v>
      </c>
      <c r="CZ12" t="e">
        <f>#REF!</f>
        <v>#REF!</v>
      </c>
      <c r="DA12" t="e">
        <f>#REF!</f>
        <v>#REF!</v>
      </c>
      <c r="DB12" t="e">
        <f>#REF!</f>
        <v>#REF!</v>
      </c>
      <c r="DC12" t="e">
        <f>#REF!</f>
        <v>#REF!</v>
      </c>
      <c r="DD12" t="e">
        <f>#REF!</f>
        <v>#REF!</v>
      </c>
      <c r="DE12" t="e">
        <f>#REF!</f>
        <v>#REF!</v>
      </c>
      <c r="DF12" t="e">
        <f>#REF!</f>
        <v>#REF!</v>
      </c>
      <c r="DG12" t="e">
        <f>#REF!</f>
        <v>#REF!</v>
      </c>
      <c r="DH12" t="e">
        <f>#REF!</f>
        <v>#REF!</v>
      </c>
      <c r="DI12" t="e">
        <f>#REF!</f>
        <v>#REF!</v>
      </c>
      <c r="DJ12" t="e">
        <f>#REF!</f>
        <v>#REF!</v>
      </c>
      <c r="DK12" t="e">
        <f>#REF!</f>
        <v>#REF!</v>
      </c>
      <c r="DL12" t="e">
        <f>#REF!</f>
        <v>#REF!</v>
      </c>
      <c r="DM12" t="e">
        <f>#REF!</f>
        <v>#REF!</v>
      </c>
      <c r="DN12" t="e">
        <f>#REF!</f>
        <v>#REF!</v>
      </c>
      <c r="DO12" t="e">
        <f>#REF!</f>
        <v>#REF!</v>
      </c>
      <c r="DP12" t="e">
        <f>#REF!</f>
        <v>#REF!</v>
      </c>
      <c r="DQ12" t="e">
        <f>#REF!</f>
        <v>#REF!</v>
      </c>
      <c r="DR12" t="e">
        <f>#REF!</f>
        <v>#REF!</v>
      </c>
      <c r="DS12" t="e">
        <f>#REF!</f>
        <v>#REF!</v>
      </c>
      <c r="DT12" t="e">
        <f>#REF!</f>
        <v>#REF!</v>
      </c>
      <c r="DU12" t="e">
        <f>#REF!</f>
        <v>#REF!</v>
      </c>
      <c r="DV12" t="e">
        <f>#REF!</f>
        <v>#REF!</v>
      </c>
      <c r="DW12" t="e">
        <f>#REF!</f>
        <v>#REF!</v>
      </c>
      <c r="DX12" t="e">
        <f>#REF!</f>
        <v>#REF!</v>
      </c>
      <c r="DY12" t="e">
        <f>#REF!</f>
        <v>#REF!</v>
      </c>
      <c r="DZ12" t="e">
        <f>#REF!</f>
        <v>#REF!</v>
      </c>
      <c r="EA12" t="e">
        <f>#REF!</f>
        <v>#REF!</v>
      </c>
      <c r="EB12" t="e">
        <f>#REF!</f>
        <v>#REF!</v>
      </c>
      <c r="EC12" t="e">
        <f>#REF!</f>
        <v>#REF!</v>
      </c>
      <c r="ED12" t="e">
        <f>#REF!</f>
        <v>#REF!</v>
      </c>
      <c r="EE12" t="e">
        <f>#REF!</f>
        <v>#REF!</v>
      </c>
      <c r="EF12" t="e">
        <f>#REF!</f>
        <v>#REF!</v>
      </c>
      <c r="EG12" t="e">
        <f>#REF!</f>
        <v>#REF!</v>
      </c>
      <c r="EH12" t="e">
        <f>#REF!</f>
        <v>#REF!</v>
      </c>
      <c r="EI12" t="e">
        <f>#REF!</f>
        <v>#REF!</v>
      </c>
      <c r="EJ12" t="e">
        <f>#REF!</f>
        <v>#REF!</v>
      </c>
      <c r="EK12" t="e">
        <f>#REF!</f>
        <v>#REF!</v>
      </c>
      <c r="EL12" t="e">
        <f>#REF!</f>
        <v>#REF!</v>
      </c>
      <c r="EM12" t="e">
        <f>#REF!</f>
        <v>#REF!</v>
      </c>
      <c r="EN12" t="e">
        <f>#REF!</f>
        <v>#REF!</v>
      </c>
      <c r="EO12" t="e">
        <f>#REF!</f>
        <v>#REF!</v>
      </c>
      <c r="EP12" t="e">
        <f>#REF!</f>
        <v>#REF!</v>
      </c>
      <c r="EQ12" t="e">
        <f>#REF!</f>
        <v>#REF!</v>
      </c>
      <c r="ER12" t="e">
        <f>#REF!</f>
        <v>#REF!</v>
      </c>
      <c r="ES12" t="e">
        <f>#REF!</f>
        <v>#REF!</v>
      </c>
      <c r="ET12" t="e">
        <f>#REF!</f>
        <v>#REF!</v>
      </c>
      <c r="EU12" t="e">
        <f>#REF!</f>
        <v>#REF!</v>
      </c>
      <c r="EV12" t="e">
        <f>#REF!</f>
        <v>#REF!</v>
      </c>
      <c r="EW12" t="e">
        <f>#REF!</f>
        <v>#REF!</v>
      </c>
      <c r="EX12" t="e">
        <f>#REF!</f>
        <v>#REF!</v>
      </c>
      <c r="EY12" t="e">
        <f>#REF!</f>
        <v>#REF!</v>
      </c>
      <c r="EZ12" t="e">
        <f>#REF!</f>
        <v>#REF!</v>
      </c>
      <c r="FA12" t="e">
        <f>#REF!</f>
        <v>#REF!</v>
      </c>
      <c r="FB12" t="e">
        <f>#REF!</f>
        <v>#REF!</v>
      </c>
      <c r="FC12" t="e">
        <f>#REF!</f>
        <v>#REF!</v>
      </c>
      <c r="FD12" t="e">
        <f>#REF!</f>
        <v>#REF!</v>
      </c>
      <c r="FE12" t="e">
        <f>#REF!</f>
        <v>#REF!</v>
      </c>
      <c r="FF12" t="e">
        <f>#REF!</f>
        <v>#REF!</v>
      </c>
      <c r="FG12" t="e">
        <f>#REF!</f>
        <v>#REF!</v>
      </c>
      <c r="FH12" t="e">
        <f>#REF!</f>
        <v>#REF!</v>
      </c>
      <c r="FI12" t="e">
        <f>#REF!</f>
        <v>#REF!</v>
      </c>
      <c r="FJ12" t="e">
        <f>#REF!</f>
        <v>#REF!</v>
      </c>
      <c r="FK12" t="e">
        <f>#REF!</f>
        <v>#REF!</v>
      </c>
      <c r="FL12" t="e">
        <f>#REF!</f>
        <v>#REF!</v>
      </c>
      <c r="FM12" t="e">
        <f>#REF!</f>
        <v>#REF!</v>
      </c>
      <c r="FN12" t="e">
        <f>#REF!</f>
        <v>#REF!</v>
      </c>
    </row>
    <row r="13" spans="1:170" ht="15" x14ac:dyDescent="0.25">
      <c r="A13" s="619">
        <v>1</v>
      </c>
      <c r="B13" s="133" t="e">
        <f>RIGHT(#REF!,LEN(#REF!)-(FIND("Standards",#REF!,1)+9))</f>
        <v>#REF!</v>
      </c>
      <c r="C13" s="620" t="e">
        <f>#REF!</f>
        <v>#REF!</v>
      </c>
      <c r="D13" s="620">
        <v>72686</v>
      </c>
      <c r="E13" s="621" t="e">
        <f>#REF!</f>
        <v>#REF!</v>
      </c>
      <c r="F13" s="621" t="e">
        <f>#REF!</f>
        <v>#REF!</v>
      </c>
      <c r="G13" s="619" t="e">
        <f>#REF!</f>
        <v>#REF!</v>
      </c>
      <c r="H13" s="619" t="e">
        <f>#REF!</f>
        <v>#REF!</v>
      </c>
      <c r="I13" s="621" t="e">
        <f>#REF!</f>
        <v>#REF!</v>
      </c>
      <c r="J13" s="619" t="e">
        <f>#REF!</f>
        <v>#REF!</v>
      </c>
      <c r="K13" s="621" t="e">
        <f>#REF!</f>
        <v>#REF!</v>
      </c>
      <c r="L13" s="622" t="e">
        <f>#REF!</f>
        <v>#REF!</v>
      </c>
      <c r="M13" s="622" t="e">
        <f>#REF!</f>
        <v>#REF!</v>
      </c>
      <c r="N13" t="e">
        <f>#REF!</f>
        <v>#REF!</v>
      </c>
      <c r="O13" t="e">
        <f>#REF!</f>
        <v>#REF!</v>
      </c>
      <c r="P13" t="e">
        <f>#REF!</f>
        <v>#REF!</v>
      </c>
      <c r="Q13" s="136" t="e">
        <f>#REF!</f>
        <v>#REF!</v>
      </c>
      <c r="R13" s="136" t="e">
        <f>#REF!</f>
        <v>#REF!</v>
      </c>
      <c r="S13" s="136" t="e">
        <f>#REF!</f>
        <v>#REF!</v>
      </c>
      <c r="T13" s="136" t="e">
        <f>#REF!</f>
        <v>#REF!</v>
      </c>
      <c r="U13" s="136" t="e">
        <f>#REF!</f>
        <v>#REF!</v>
      </c>
      <c r="V13" s="136" t="e">
        <f>#REF!</f>
        <v>#REF!</v>
      </c>
      <c r="W13" s="136" t="e">
        <f>#REF!</f>
        <v>#REF!</v>
      </c>
      <c r="X13" s="136" t="e">
        <f>#REF!</f>
        <v>#REF!</v>
      </c>
      <c r="Y13" s="136" t="e">
        <f>#REF!</f>
        <v>#REF!</v>
      </c>
      <c r="Z13" s="136" t="e">
        <f>#REF!</f>
        <v>#REF!</v>
      </c>
      <c r="AA13" s="136" t="e">
        <f>#REF!</f>
        <v>#REF!</v>
      </c>
      <c r="AB13" s="136" t="e">
        <f>#REF!</f>
        <v>#REF!</v>
      </c>
      <c r="AC13" s="136" t="e">
        <f>#REF!</f>
        <v>#REF!</v>
      </c>
      <c r="AD13" s="136" t="e">
        <f>#REF!</f>
        <v>#REF!</v>
      </c>
      <c r="AE13" s="136" t="e">
        <f>#REF!</f>
        <v>#REF!</v>
      </c>
      <c r="AF13" s="136" t="e">
        <f>#REF!</f>
        <v>#REF!</v>
      </c>
      <c r="AG13" s="136" t="e">
        <f>#REF!</f>
        <v>#REF!</v>
      </c>
      <c r="AH13" s="136" t="e">
        <f>#REF!</f>
        <v>#REF!</v>
      </c>
      <c r="AI13" s="136" t="e">
        <f>#REF!</f>
        <v>#REF!</v>
      </c>
      <c r="AJ13" s="136" t="e">
        <f>#REF!</f>
        <v>#REF!</v>
      </c>
      <c r="AK13" s="136" t="e">
        <f>#REF!</f>
        <v>#REF!</v>
      </c>
      <c r="AL13" s="136"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s="137" t="e">
        <f>#REF!</f>
        <v>#REF!</v>
      </c>
      <c r="BO13" s="137" t="e">
        <f>#REF!</f>
        <v>#REF!</v>
      </c>
      <c r="BP13" s="137" t="e">
        <f>#REF!</f>
        <v>#REF!</v>
      </c>
      <c r="BQ13" s="137" t="e">
        <f>#REF!</f>
        <v>#REF!</v>
      </c>
      <c r="BR13" s="137" t="e">
        <f>#REF!</f>
        <v>#REF!</v>
      </c>
      <c r="BS13" s="137" t="e">
        <f>#REF!</f>
        <v>#REF!</v>
      </c>
      <c r="BT13" s="137" t="e">
        <f>#REF!</f>
        <v>#REF!</v>
      </c>
      <c r="BU13" s="137" t="e">
        <f>#REF!</f>
        <v>#REF!</v>
      </c>
      <c r="BV13" s="137" t="e">
        <f>#REF!</f>
        <v>#REF!</v>
      </c>
      <c r="BW13" s="137" t="e">
        <f>#REF!</f>
        <v>#REF!</v>
      </c>
      <c r="BX13" s="137" t="e">
        <f>#REF!</f>
        <v>#REF!</v>
      </c>
      <c r="BY13" s="137" t="e">
        <f>#REF!</f>
        <v>#REF!</v>
      </c>
      <c r="BZ13" s="137" t="e">
        <f>#REF!</f>
        <v>#REF!</v>
      </c>
      <c r="CA13" s="137" t="e">
        <f>#REF!</f>
        <v>#REF!</v>
      </c>
      <c r="CB13" t="e">
        <f>#REF!</f>
        <v>#REF!</v>
      </c>
      <c r="CC13" t="e">
        <f>#REF!</f>
        <v>#REF!</v>
      </c>
      <c r="CD13" t="e">
        <f>#REF!</f>
        <v>#REF!</v>
      </c>
      <c r="CE13" t="e">
        <f>#REF!</f>
        <v>#REF!</v>
      </c>
      <c r="CF13" t="e">
        <f>#REF!</f>
        <v>#REF!</v>
      </c>
      <c r="CG13" t="e">
        <f>#REF!</f>
        <v>#REF!</v>
      </c>
      <c r="CH13" t="e">
        <f>#REF!</f>
        <v>#REF!</v>
      </c>
      <c r="CI13" t="e">
        <f>#REF!</f>
        <v>#REF!</v>
      </c>
      <c r="CJ13" s="136" t="e">
        <f>#REF!</f>
        <v>#REF!</v>
      </c>
      <c r="CK13" s="136" t="e">
        <f>#REF!</f>
        <v>#REF!</v>
      </c>
      <c r="CL13" s="136" t="e">
        <f>#REF!</f>
        <v>#REF!</v>
      </c>
      <c r="CM13" s="136" t="e">
        <f>#REF!</f>
        <v>#REF!</v>
      </c>
      <c r="CN13" s="136" t="e">
        <f>#REF!</f>
        <v>#REF!</v>
      </c>
      <c r="CO13" s="136" t="e">
        <f>#REF!</f>
        <v>#REF!</v>
      </c>
      <c r="CP13" t="e">
        <f>#REF!</f>
        <v>#REF!</v>
      </c>
      <c r="CQ13" t="e">
        <f>#REF!</f>
        <v>#REF!</v>
      </c>
      <c r="CR13" t="e">
        <f>#REF!</f>
        <v>#REF!</v>
      </c>
      <c r="CS13" t="e">
        <f>#REF!</f>
        <v>#REF!</v>
      </c>
      <c r="CT13" t="e">
        <f>#REF!</f>
        <v>#REF!</v>
      </c>
      <c r="CU13" t="e">
        <f>#REF!</f>
        <v>#REF!</v>
      </c>
      <c r="CV13" t="e">
        <f>#REF!</f>
        <v>#REF!</v>
      </c>
      <c r="CW13" t="e">
        <f>#REF!</f>
        <v>#REF!</v>
      </c>
      <c r="CX13" t="e">
        <f>#REF!</f>
        <v>#REF!</v>
      </c>
      <c r="CY13" t="e">
        <f>#REF!</f>
        <v>#REF!</v>
      </c>
      <c r="CZ13" t="e">
        <f>#REF!</f>
        <v>#REF!</v>
      </c>
      <c r="DA13" t="e">
        <f>#REF!</f>
        <v>#REF!</v>
      </c>
      <c r="DB13" t="e">
        <f>#REF!</f>
        <v>#REF!</v>
      </c>
      <c r="DC13" t="e">
        <f>#REF!</f>
        <v>#REF!</v>
      </c>
      <c r="DD13" t="e">
        <f>#REF!</f>
        <v>#REF!</v>
      </c>
      <c r="DE13" t="e">
        <f>#REF!</f>
        <v>#REF!</v>
      </c>
      <c r="DF13" t="e">
        <f>#REF!</f>
        <v>#REF!</v>
      </c>
      <c r="DG13" t="e">
        <f>#REF!</f>
        <v>#REF!</v>
      </c>
      <c r="DH13" t="e">
        <f>#REF!</f>
        <v>#REF!</v>
      </c>
      <c r="DI13" t="e">
        <f>#REF!</f>
        <v>#REF!</v>
      </c>
      <c r="DJ13" t="e">
        <f>#REF!</f>
        <v>#REF!</v>
      </c>
      <c r="DK13" t="e">
        <f>#REF!</f>
        <v>#REF!</v>
      </c>
      <c r="DL13" t="e">
        <f>#REF!</f>
        <v>#REF!</v>
      </c>
      <c r="DM13" t="e">
        <f>#REF!</f>
        <v>#REF!</v>
      </c>
      <c r="DN13" t="e">
        <f>#REF!</f>
        <v>#REF!</v>
      </c>
      <c r="DO13" t="e">
        <f>#REF!</f>
        <v>#REF!</v>
      </c>
      <c r="DP13" t="e">
        <f>#REF!</f>
        <v>#REF!</v>
      </c>
      <c r="DQ13" t="e">
        <f>#REF!</f>
        <v>#REF!</v>
      </c>
      <c r="DR13" t="e">
        <f>#REF!</f>
        <v>#REF!</v>
      </c>
      <c r="DS13" t="e">
        <f>#REF!</f>
        <v>#REF!</v>
      </c>
      <c r="DT13" t="e">
        <f>#REF!</f>
        <v>#REF!</v>
      </c>
      <c r="DU13" t="e">
        <f>#REF!</f>
        <v>#REF!</v>
      </c>
      <c r="DV13" t="e">
        <f>#REF!</f>
        <v>#REF!</v>
      </c>
      <c r="DW13" t="e">
        <f>#REF!</f>
        <v>#REF!</v>
      </c>
      <c r="DX13" t="e">
        <f>#REF!</f>
        <v>#REF!</v>
      </c>
      <c r="DY13" t="e">
        <f>#REF!</f>
        <v>#REF!</v>
      </c>
      <c r="DZ13" t="e">
        <f>#REF!</f>
        <v>#REF!</v>
      </c>
      <c r="EA13" t="e">
        <f>#REF!</f>
        <v>#REF!</v>
      </c>
      <c r="EB13" t="e">
        <f>#REF!</f>
        <v>#REF!</v>
      </c>
      <c r="EC13" t="e">
        <f>#REF!</f>
        <v>#REF!</v>
      </c>
      <c r="ED13" t="e">
        <f>#REF!</f>
        <v>#REF!</v>
      </c>
      <c r="EE13" t="e">
        <f>#REF!</f>
        <v>#REF!</v>
      </c>
      <c r="EF13" t="e">
        <f>#REF!</f>
        <v>#REF!</v>
      </c>
      <c r="EG13" t="e">
        <f>#REF!</f>
        <v>#REF!</v>
      </c>
      <c r="EH13" t="e">
        <f>#REF!</f>
        <v>#REF!</v>
      </c>
      <c r="EI13" t="e">
        <f>#REF!</f>
        <v>#REF!</v>
      </c>
      <c r="EJ13" t="e">
        <f>#REF!</f>
        <v>#REF!</v>
      </c>
      <c r="EK13" t="e">
        <f>#REF!</f>
        <v>#REF!</v>
      </c>
      <c r="EL13" t="e">
        <f>#REF!</f>
        <v>#REF!</v>
      </c>
      <c r="EM13" t="e">
        <f>#REF!</f>
        <v>#REF!</v>
      </c>
      <c r="EN13" t="e">
        <f>#REF!</f>
        <v>#REF!</v>
      </c>
      <c r="EO13" t="e">
        <f>#REF!</f>
        <v>#REF!</v>
      </c>
      <c r="EP13" t="e">
        <f>#REF!</f>
        <v>#REF!</v>
      </c>
      <c r="EQ13" t="e">
        <f>#REF!</f>
        <v>#REF!</v>
      </c>
      <c r="ER13" t="e">
        <f>#REF!</f>
        <v>#REF!</v>
      </c>
      <c r="ES13" t="e">
        <f>#REF!</f>
        <v>#REF!</v>
      </c>
      <c r="ET13" t="e">
        <f>#REF!</f>
        <v>#REF!</v>
      </c>
      <c r="EU13" t="e">
        <f>#REF!</f>
        <v>#REF!</v>
      </c>
      <c r="EV13" t="e">
        <f>#REF!</f>
        <v>#REF!</v>
      </c>
      <c r="EW13" t="e">
        <f>#REF!</f>
        <v>#REF!</v>
      </c>
      <c r="EX13" t="e">
        <f>#REF!</f>
        <v>#REF!</v>
      </c>
      <c r="EY13" t="e">
        <f>#REF!</f>
        <v>#REF!</v>
      </c>
      <c r="EZ13" t="e">
        <f>#REF!</f>
        <v>#REF!</v>
      </c>
      <c r="FA13" t="e">
        <f>#REF!</f>
        <v>#REF!</v>
      </c>
      <c r="FB13" t="e">
        <f>#REF!</f>
        <v>#REF!</v>
      </c>
      <c r="FC13" t="e">
        <f>#REF!</f>
        <v>#REF!</v>
      </c>
      <c r="FD13" t="e">
        <f>#REF!</f>
        <v>#REF!</v>
      </c>
      <c r="FE13" t="e">
        <f>#REF!</f>
        <v>#REF!</v>
      </c>
      <c r="FF13" t="e">
        <f>#REF!</f>
        <v>#REF!</v>
      </c>
      <c r="FG13" t="e">
        <f>#REF!</f>
        <v>#REF!</v>
      </c>
      <c r="FH13" t="e">
        <f>#REF!</f>
        <v>#REF!</v>
      </c>
      <c r="FI13" t="e">
        <f>#REF!</f>
        <v>#REF!</v>
      </c>
      <c r="FJ13" t="e">
        <f>#REF!</f>
        <v>#REF!</v>
      </c>
      <c r="FK13" t="e">
        <f>#REF!</f>
        <v>#REF!</v>
      </c>
      <c r="FL13" t="e">
        <f>#REF!</f>
        <v>#REF!</v>
      </c>
      <c r="FM13" t="e">
        <f>#REF!</f>
        <v>#REF!</v>
      </c>
      <c r="FN13" t="e">
        <f>#REF!</f>
        <v>#REF!</v>
      </c>
    </row>
    <row r="14" spans="1:170" ht="15" x14ac:dyDescent="0.25">
      <c r="A14" s="619">
        <v>1</v>
      </c>
      <c r="B14" s="133" t="e">
        <f>RIGHT(#REF!,LEN(#REF!)-(FIND("Standards",#REF!,1)+9))</f>
        <v>#REF!</v>
      </c>
      <c r="C14" s="620" t="e">
        <f>#REF!</f>
        <v>#REF!</v>
      </c>
      <c r="D14" s="620">
        <v>72686</v>
      </c>
      <c r="E14" s="621" t="e">
        <f>#REF!</f>
        <v>#REF!</v>
      </c>
      <c r="F14" s="621" t="e">
        <f>#REF!</f>
        <v>#REF!</v>
      </c>
      <c r="G14" s="619" t="e">
        <f>#REF!</f>
        <v>#REF!</v>
      </c>
      <c r="H14" s="619" t="e">
        <f>#REF!</f>
        <v>#REF!</v>
      </c>
      <c r="I14" s="621" t="e">
        <f>#REF!</f>
        <v>#REF!</v>
      </c>
      <c r="J14" s="619" t="e">
        <f>#REF!</f>
        <v>#REF!</v>
      </c>
      <c r="K14" s="621" t="e">
        <f>#REF!</f>
        <v>#REF!</v>
      </c>
      <c r="L14" s="622" t="e">
        <f>#REF!</f>
        <v>#REF!</v>
      </c>
      <c r="M14" s="622" t="e">
        <f>#REF!</f>
        <v>#REF!</v>
      </c>
      <c r="N14" t="e">
        <f>#REF!</f>
        <v>#REF!</v>
      </c>
      <c r="O14" t="e">
        <f>#REF!</f>
        <v>#REF!</v>
      </c>
      <c r="P14" t="e">
        <f>#REF!</f>
        <v>#REF!</v>
      </c>
      <c r="Q14" s="136" t="e">
        <f>#REF!</f>
        <v>#REF!</v>
      </c>
      <c r="R14" s="136" t="e">
        <f>#REF!</f>
        <v>#REF!</v>
      </c>
      <c r="S14" s="136" t="e">
        <f>#REF!</f>
        <v>#REF!</v>
      </c>
      <c r="T14" s="136" t="e">
        <f>#REF!</f>
        <v>#REF!</v>
      </c>
      <c r="U14" s="136" t="e">
        <f>#REF!</f>
        <v>#REF!</v>
      </c>
      <c r="V14" s="136" t="e">
        <f>#REF!</f>
        <v>#REF!</v>
      </c>
      <c r="W14" s="136" t="e">
        <f>#REF!</f>
        <v>#REF!</v>
      </c>
      <c r="X14" s="136" t="e">
        <f>#REF!</f>
        <v>#REF!</v>
      </c>
      <c r="Y14" s="136" t="e">
        <f>#REF!</f>
        <v>#REF!</v>
      </c>
      <c r="Z14" s="136" t="e">
        <f>#REF!</f>
        <v>#REF!</v>
      </c>
      <c r="AA14" s="136" t="e">
        <f>#REF!</f>
        <v>#REF!</v>
      </c>
      <c r="AB14" s="136" t="e">
        <f>#REF!</f>
        <v>#REF!</v>
      </c>
      <c r="AC14" s="136" t="e">
        <f>#REF!</f>
        <v>#REF!</v>
      </c>
      <c r="AD14" s="136" t="e">
        <f>#REF!</f>
        <v>#REF!</v>
      </c>
      <c r="AE14" s="136" t="e">
        <f>#REF!</f>
        <v>#REF!</v>
      </c>
      <c r="AF14" s="136" t="e">
        <f>#REF!</f>
        <v>#REF!</v>
      </c>
      <c r="AG14" s="136" t="e">
        <f>#REF!</f>
        <v>#REF!</v>
      </c>
      <c r="AH14" s="136" t="e">
        <f>#REF!</f>
        <v>#REF!</v>
      </c>
      <c r="AI14" s="136" t="e">
        <f>#REF!</f>
        <v>#REF!</v>
      </c>
      <c r="AJ14" s="136" t="e">
        <f>#REF!</f>
        <v>#REF!</v>
      </c>
      <c r="AK14" s="136" t="e">
        <f>#REF!</f>
        <v>#REF!</v>
      </c>
      <c r="AL14" s="136"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s="137" t="e">
        <f>#REF!</f>
        <v>#REF!</v>
      </c>
      <c r="BO14" s="137" t="e">
        <f>#REF!</f>
        <v>#REF!</v>
      </c>
      <c r="BP14" s="137" t="e">
        <f>#REF!</f>
        <v>#REF!</v>
      </c>
      <c r="BQ14" s="137" t="e">
        <f>#REF!</f>
        <v>#REF!</v>
      </c>
      <c r="BR14" s="137" t="e">
        <f>#REF!</f>
        <v>#REF!</v>
      </c>
      <c r="BS14" s="137" t="e">
        <f>#REF!</f>
        <v>#REF!</v>
      </c>
      <c r="BT14" s="137" t="e">
        <f>#REF!</f>
        <v>#REF!</v>
      </c>
      <c r="BU14" s="137" t="e">
        <f>#REF!</f>
        <v>#REF!</v>
      </c>
      <c r="BV14" s="137" t="e">
        <f>#REF!</f>
        <v>#REF!</v>
      </c>
      <c r="BW14" s="137" t="e">
        <f>#REF!</f>
        <v>#REF!</v>
      </c>
      <c r="BX14" s="137" t="e">
        <f>#REF!</f>
        <v>#REF!</v>
      </c>
      <c r="BY14" s="137" t="e">
        <f>#REF!</f>
        <v>#REF!</v>
      </c>
      <c r="BZ14" s="137" t="e">
        <f>#REF!</f>
        <v>#REF!</v>
      </c>
      <c r="CA14" s="137" t="e">
        <f>#REF!</f>
        <v>#REF!</v>
      </c>
      <c r="CB14" t="e">
        <f>#REF!</f>
        <v>#REF!</v>
      </c>
      <c r="CC14" t="e">
        <f>#REF!</f>
        <v>#REF!</v>
      </c>
      <c r="CD14" t="e">
        <f>#REF!</f>
        <v>#REF!</v>
      </c>
      <c r="CE14" t="e">
        <f>#REF!</f>
        <v>#REF!</v>
      </c>
      <c r="CF14" t="e">
        <f>#REF!</f>
        <v>#REF!</v>
      </c>
      <c r="CG14" t="e">
        <f>#REF!</f>
        <v>#REF!</v>
      </c>
      <c r="CH14" t="e">
        <f>#REF!</f>
        <v>#REF!</v>
      </c>
      <c r="CI14" t="e">
        <f>#REF!</f>
        <v>#REF!</v>
      </c>
      <c r="CJ14" s="136" t="e">
        <f>#REF!</f>
        <v>#REF!</v>
      </c>
      <c r="CK14" s="136" t="e">
        <f>#REF!</f>
        <v>#REF!</v>
      </c>
      <c r="CL14" s="136" t="e">
        <f>#REF!</f>
        <v>#REF!</v>
      </c>
      <c r="CM14" s="136" t="e">
        <f>#REF!</f>
        <v>#REF!</v>
      </c>
      <c r="CN14" s="136" t="e">
        <f>#REF!</f>
        <v>#REF!</v>
      </c>
      <c r="CO14" s="136" t="e">
        <f>#REF!</f>
        <v>#REF!</v>
      </c>
      <c r="CP14" t="e">
        <f>#REF!</f>
        <v>#REF!</v>
      </c>
      <c r="CQ14" t="e">
        <f>#REF!</f>
        <v>#REF!</v>
      </c>
      <c r="CR14" t="e">
        <f>#REF!</f>
        <v>#REF!</v>
      </c>
      <c r="CS14" t="e">
        <f>#REF!</f>
        <v>#REF!</v>
      </c>
      <c r="CT14" t="e">
        <f>#REF!</f>
        <v>#REF!</v>
      </c>
      <c r="CU14" t="e">
        <f>#REF!</f>
        <v>#REF!</v>
      </c>
      <c r="CV14" t="e">
        <f>#REF!</f>
        <v>#REF!</v>
      </c>
      <c r="CW14" t="e">
        <f>#REF!</f>
        <v>#REF!</v>
      </c>
      <c r="CX14" t="e">
        <f>#REF!</f>
        <v>#REF!</v>
      </c>
      <c r="CY14" t="e">
        <f>#REF!</f>
        <v>#REF!</v>
      </c>
      <c r="CZ14" t="e">
        <f>#REF!</f>
        <v>#REF!</v>
      </c>
      <c r="DA14" t="e">
        <f>#REF!</f>
        <v>#REF!</v>
      </c>
      <c r="DB14" t="e">
        <f>#REF!</f>
        <v>#REF!</v>
      </c>
      <c r="DC14" t="e">
        <f>#REF!</f>
        <v>#REF!</v>
      </c>
      <c r="DD14" t="e">
        <f>#REF!</f>
        <v>#REF!</v>
      </c>
      <c r="DE14" t="e">
        <f>#REF!</f>
        <v>#REF!</v>
      </c>
      <c r="DF14" t="e">
        <f>#REF!</f>
        <v>#REF!</v>
      </c>
      <c r="DG14" t="e">
        <f>#REF!</f>
        <v>#REF!</v>
      </c>
      <c r="DH14" t="e">
        <f>#REF!</f>
        <v>#REF!</v>
      </c>
      <c r="DI14" t="e">
        <f>#REF!</f>
        <v>#REF!</v>
      </c>
      <c r="DJ14" t="e">
        <f>#REF!</f>
        <v>#REF!</v>
      </c>
      <c r="DK14" t="e">
        <f>#REF!</f>
        <v>#REF!</v>
      </c>
      <c r="DL14" t="e">
        <f>#REF!</f>
        <v>#REF!</v>
      </c>
      <c r="DM14" t="e">
        <f>#REF!</f>
        <v>#REF!</v>
      </c>
      <c r="DN14" t="e">
        <f>#REF!</f>
        <v>#REF!</v>
      </c>
      <c r="DO14" t="e">
        <f>#REF!</f>
        <v>#REF!</v>
      </c>
      <c r="DP14" t="e">
        <f>#REF!</f>
        <v>#REF!</v>
      </c>
      <c r="DQ14" t="e">
        <f>#REF!</f>
        <v>#REF!</v>
      </c>
      <c r="DR14" t="e">
        <f>#REF!</f>
        <v>#REF!</v>
      </c>
      <c r="DS14" t="e">
        <f>#REF!</f>
        <v>#REF!</v>
      </c>
      <c r="DT14" t="e">
        <f>#REF!</f>
        <v>#REF!</v>
      </c>
      <c r="DU14" t="e">
        <f>#REF!</f>
        <v>#REF!</v>
      </c>
      <c r="DV14" t="e">
        <f>#REF!</f>
        <v>#REF!</v>
      </c>
      <c r="DW14" t="e">
        <f>#REF!</f>
        <v>#REF!</v>
      </c>
      <c r="DX14" t="e">
        <f>#REF!</f>
        <v>#REF!</v>
      </c>
      <c r="DY14" t="e">
        <f>#REF!</f>
        <v>#REF!</v>
      </c>
      <c r="DZ14" t="e">
        <f>#REF!</f>
        <v>#REF!</v>
      </c>
      <c r="EA14" t="e">
        <f>#REF!</f>
        <v>#REF!</v>
      </c>
      <c r="EB14" t="e">
        <f>#REF!</f>
        <v>#REF!</v>
      </c>
      <c r="EC14" t="e">
        <f>#REF!</f>
        <v>#REF!</v>
      </c>
      <c r="ED14" t="e">
        <f>#REF!</f>
        <v>#REF!</v>
      </c>
      <c r="EE14" t="e">
        <f>#REF!</f>
        <v>#REF!</v>
      </c>
      <c r="EF14" t="e">
        <f>#REF!</f>
        <v>#REF!</v>
      </c>
      <c r="EG14" t="e">
        <f>#REF!</f>
        <v>#REF!</v>
      </c>
      <c r="EH14" t="e">
        <f>#REF!</f>
        <v>#REF!</v>
      </c>
      <c r="EI14" t="e">
        <f>#REF!</f>
        <v>#REF!</v>
      </c>
      <c r="EJ14" t="e">
        <f>#REF!</f>
        <v>#REF!</v>
      </c>
      <c r="EK14" t="e">
        <f>#REF!</f>
        <v>#REF!</v>
      </c>
      <c r="EL14" t="e">
        <f>#REF!</f>
        <v>#REF!</v>
      </c>
      <c r="EM14" t="e">
        <f>#REF!</f>
        <v>#REF!</v>
      </c>
      <c r="EN14" t="e">
        <f>#REF!</f>
        <v>#REF!</v>
      </c>
      <c r="EO14" t="e">
        <f>#REF!</f>
        <v>#REF!</v>
      </c>
      <c r="EP14" t="e">
        <f>#REF!</f>
        <v>#REF!</v>
      </c>
      <c r="EQ14" t="e">
        <f>#REF!</f>
        <v>#REF!</v>
      </c>
      <c r="ER14" t="e">
        <f>#REF!</f>
        <v>#REF!</v>
      </c>
      <c r="ES14" t="e">
        <f>#REF!</f>
        <v>#REF!</v>
      </c>
      <c r="ET14" t="e">
        <f>#REF!</f>
        <v>#REF!</v>
      </c>
      <c r="EU14" t="e">
        <f>#REF!</f>
        <v>#REF!</v>
      </c>
      <c r="EV14" t="e">
        <f>#REF!</f>
        <v>#REF!</v>
      </c>
      <c r="EW14" t="e">
        <f>#REF!</f>
        <v>#REF!</v>
      </c>
      <c r="EX14" t="e">
        <f>#REF!</f>
        <v>#REF!</v>
      </c>
      <c r="EY14" t="e">
        <f>#REF!</f>
        <v>#REF!</v>
      </c>
      <c r="EZ14" t="e">
        <f>#REF!</f>
        <v>#REF!</v>
      </c>
      <c r="FA14" t="e">
        <f>#REF!</f>
        <v>#REF!</v>
      </c>
      <c r="FB14" t="e">
        <f>#REF!</f>
        <v>#REF!</v>
      </c>
      <c r="FC14" t="e">
        <f>#REF!</f>
        <v>#REF!</v>
      </c>
      <c r="FD14" t="e">
        <f>#REF!</f>
        <v>#REF!</v>
      </c>
      <c r="FE14" t="e">
        <f>#REF!</f>
        <v>#REF!</v>
      </c>
      <c r="FF14" t="e">
        <f>#REF!</f>
        <v>#REF!</v>
      </c>
      <c r="FG14" t="e">
        <f>#REF!</f>
        <v>#REF!</v>
      </c>
      <c r="FH14" t="e">
        <f>#REF!</f>
        <v>#REF!</v>
      </c>
      <c r="FI14" t="e">
        <f>#REF!</f>
        <v>#REF!</v>
      </c>
      <c r="FJ14" t="e">
        <f>#REF!</f>
        <v>#REF!</v>
      </c>
      <c r="FK14" t="e">
        <f>#REF!</f>
        <v>#REF!</v>
      </c>
      <c r="FL14" t="e">
        <f>#REF!</f>
        <v>#REF!</v>
      </c>
      <c r="FM14" t="e">
        <f>#REF!</f>
        <v>#REF!</v>
      </c>
      <c r="FN14" t="e">
        <f>#REF!</f>
        <v>#REF!</v>
      </c>
    </row>
    <row r="15" spans="1:170" ht="15" x14ac:dyDescent="0.25">
      <c r="A15" s="619">
        <v>1</v>
      </c>
      <c r="B15" s="133" t="e">
        <f>RIGHT(#REF!,LEN(#REF!)-(FIND("Standards",#REF!,1)+9))</f>
        <v>#REF!</v>
      </c>
      <c r="C15" s="620" t="e">
        <f>#REF!</f>
        <v>#REF!</v>
      </c>
      <c r="D15" s="620">
        <v>72686</v>
      </c>
      <c r="E15" s="621" t="e">
        <f>#REF!</f>
        <v>#REF!</v>
      </c>
      <c r="F15" s="621" t="e">
        <f>#REF!</f>
        <v>#REF!</v>
      </c>
      <c r="G15" s="619" t="e">
        <f>#REF!</f>
        <v>#REF!</v>
      </c>
      <c r="H15" s="619" t="e">
        <f>#REF!</f>
        <v>#REF!</v>
      </c>
      <c r="I15" s="621" t="e">
        <f>#REF!</f>
        <v>#REF!</v>
      </c>
      <c r="J15" s="619" t="e">
        <f>#REF!</f>
        <v>#REF!</v>
      </c>
      <c r="K15" s="621" t="e">
        <f>#REF!</f>
        <v>#REF!</v>
      </c>
      <c r="L15" s="622" t="e">
        <f>#REF!</f>
        <v>#REF!</v>
      </c>
      <c r="M15" s="622" t="e">
        <f>#REF!</f>
        <v>#REF!</v>
      </c>
      <c r="N15" t="e">
        <f>#REF!</f>
        <v>#REF!</v>
      </c>
      <c r="O15" t="e">
        <f>#REF!</f>
        <v>#REF!</v>
      </c>
      <c r="P15" t="e">
        <f>#REF!</f>
        <v>#REF!</v>
      </c>
      <c r="Q15" s="136" t="e">
        <f>#REF!</f>
        <v>#REF!</v>
      </c>
      <c r="R15" s="136" t="e">
        <f>#REF!</f>
        <v>#REF!</v>
      </c>
      <c r="S15" s="136" t="e">
        <f>#REF!</f>
        <v>#REF!</v>
      </c>
      <c r="T15" s="136" t="e">
        <f>#REF!</f>
        <v>#REF!</v>
      </c>
      <c r="U15" s="136" t="e">
        <f>#REF!</f>
        <v>#REF!</v>
      </c>
      <c r="V15" s="136" t="e">
        <f>#REF!</f>
        <v>#REF!</v>
      </c>
      <c r="W15" s="136" t="e">
        <f>#REF!</f>
        <v>#REF!</v>
      </c>
      <c r="X15" s="136" t="e">
        <f>#REF!</f>
        <v>#REF!</v>
      </c>
      <c r="Y15" s="136" t="e">
        <f>#REF!</f>
        <v>#REF!</v>
      </c>
      <c r="Z15" s="136" t="e">
        <f>#REF!</f>
        <v>#REF!</v>
      </c>
      <c r="AA15" s="136" t="e">
        <f>#REF!</f>
        <v>#REF!</v>
      </c>
      <c r="AB15" s="136" t="e">
        <f>#REF!</f>
        <v>#REF!</v>
      </c>
      <c r="AC15" s="136" t="e">
        <f>#REF!</f>
        <v>#REF!</v>
      </c>
      <c r="AD15" s="136" t="e">
        <f>#REF!</f>
        <v>#REF!</v>
      </c>
      <c r="AE15" s="136" t="e">
        <f>#REF!</f>
        <v>#REF!</v>
      </c>
      <c r="AF15" s="136" t="e">
        <f>#REF!</f>
        <v>#REF!</v>
      </c>
      <c r="AG15" s="136" t="e">
        <f>#REF!</f>
        <v>#REF!</v>
      </c>
      <c r="AH15" s="136" t="e">
        <f>#REF!</f>
        <v>#REF!</v>
      </c>
      <c r="AI15" s="136" t="e">
        <f>#REF!</f>
        <v>#REF!</v>
      </c>
      <c r="AJ15" s="136" t="e">
        <f>#REF!</f>
        <v>#REF!</v>
      </c>
      <c r="AK15" s="136" t="e">
        <f>#REF!</f>
        <v>#REF!</v>
      </c>
      <c r="AL15" s="136"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s="137" t="e">
        <f>#REF!</f>
        <v>#REF!</v>
      </c>
      <c r="BO15" s="137" t="e">
        <f>#REF!</f>
        <v>#REF!</v>
      </c>
      <c r="BP15" s="137" t="e">
        <f>#REF!</f>
        <v>#REF!</v>
      </c>
      <c r="BQ15" s="137" t="e">
        <f>#REF!</f>
        <v>#REF!</v>
      </c>
      <c r="BR15" s="137" t="e">
        <f>#REF!</f>
        <v>#REF!</v>
      </c>
      <c r="BS15" s="137" t="e">
        <f>#REF!</f>
        <v>#REF!</v>
      </c>
      <c r="BT15" s="137" t="e">
        <f>#REF!</f>
        <v>#REF!</v>
      </c>
      <c r="BU15" s="137" t="e">
        <f>#REF!</f>
        <v>#REF!</v>
      </c>
      <c r="BV15" s="137" t="e">
        <f>#REF!</f>
        <v>#REF!</v>
      </c>
      <c r="BW15" s="137" t="e">
        <f>#REF!</f>
        <v>#REF!</v>
      </c>
      <c r="BX15" s="137" t="e">
        <f>#REF!</f>
        <v>#REF!</v>
      </c>
      <c r="BY15" s="137" t="e">
        <f>#REF!</f>
        <v>#REF!</v>
      </c>
      <c r="BZ15" s="137" t="e">
        <f>#REF!</f>
        <v>#REF!</v>
      </c>
      <c r="CA15" s="137" t="e">
        <f>#REF!</f>
        <v>#REF!</v>
      </c>
      <c r="CB15" t="e">
        <f>#REF!</f>
        <v>#REF!</v>
      </c>
      <c r="CC15" t="e">
        <f>#REF!</f>
        <v>#REF!</v>
      </c>
      <c r="CD15" t="e">
        <f>#REF!</f>
        <v>#REF!</v>
      </c>
      <c r="CE15" t="e">
        <f>#REF!</f>
        <v>#REF!</v>
      </c>
      <c r="CF15" t="e">
        <f>#REF!</f>
        <v>#REF!</v>
      </c>
      <c r="CG15" t="e">
        <f>#REF!</f>
        <v>#REF!</v>
      </c>
      <c r="CH15" t="e">
        <f>#REF!</f>
        <v>#REF!</v>
      </c>
      <c r="CI15" t="e">
        <f>#REF!</f>
        <v>#REF!</v>
      </c>
      <c r="CJ15" s="136" t="e">
        <f>#REF!</f>
        <v>#REF!</v>
      </c>
      <c r="CK15" s="136" t="e">
        <f>#REF!</f>
        <v>#REF!</v>
      </c>
      <c r="CL15" s="136" t="e">
        <f>#REF!</f>
        <v>#REF!</v>
      </c>
      <c r="CM15" s="136" t="e">
        <f>#REF!</f>
        <v>#REF!</v>
      </c>
      <c r="CN15" s="136" t="e">
        <f>#REF!</f>
        <v>#REF!</v>
      </c>
      <c r="CO15" s="136" t="e">
        <f>#REF!</f>
        <v>#REF!</v>
      </c>
      <c r="CP15" t="e">
        <f>#REF!</f>
        <v>#REF!</v>
      </c>
      <c r="CQ15" t="e">
        <f>#REF!</f>
        <v>#REF!</v>
      </c>
      <c r="CR15" t="e">
        <f>#REF!</f>
        <v>#REF!</v>
      </c>
      <c r="CS15" t="e">
        <f>#REF!</f>
        <v>#REF!</v>
      </c>
      <c r="CT15" t="e">
        <f>#REF!</f>
        <v>#REF!</v>
      </c>
      <c r="CU15" t="e">
        <f>#REF!</f>
        <v>#REF!</v>
      </c>
      <c r="CV15" t="e">
        <f>#REF!</f>
        <v>#REF!</v>
      </c>
      <c r="CW15" t="e">
        <f>#REF!</f>
        <v>#REF!</v>
      </c>
      <c r="CX15" t="e">
        <f>#REF!</f>
        <v>#REF!</v>
      </c>
      <c r="CY15" t="e">
        <f>#REF!</f>
        <v>#REF!</v>
      </c>
      <c r="CZ15" t="e">
        <f>#REF!</f>
        <v>#REF!</v>
      </c>
      <c r="DA15" t="e">
        <f>#REF!</f>
        <v>#REF!</v>
      </c>
      <c r="DB15" t="e">
        <f>#REF!</f>
        <v>#REF!</v>
      </c>
      <c r="DC15" t="e">
        <f>#REF!</f>
        <v>#REF!</v>
      </c>
      <c r="DD15" t="e">
        <f>#REF!</f>
        <v>#REF!</v>
      </c>
      <c r="DE15" t="e">
        <f>#REF!</f>
        <v>#REF!</v>
      </c>
      <c r="DF15" t="e">
        <f>#REF!</f>
        <v>#REF!</v>
      </c>
      <c r="DG15" t="e">
        <f>#REF!</f>
        <v>#REF!</v>
      </c>
      <c r="DH15" t="e">
        <f>#REF!</f>
        <v>#REF!</v>
      </c>
      <c r="DI15" t="e">
        <f>#REF!</f>
        <v>#REF!</v>
      </c>
      <c r="DJ15" t="e">
        <f>#REF!</f>
        <v>#REF!</v>
      </c>
      <c r="DK15" t="e">
        <f>#REF!</f>
        <v>#REF!</v>
      </c>
      <c r="DL15" t="e">
        <f>#REF!</f>
        <v>#REF!</v>
      </c>
      <c r="DM15" t="e">
        <f>#REF!</f>
        <v>#REF!</v>
      </c>
      <c r="DN15" t="e">
        <f>#REF!</f>
        <v>#REF!</v>
      </c>
      <c r="DO15" t="e">
        <f>#REF!</f>
        <v>#REF!</v>
      </c>
      <c r="DP15" t="e">
        <f>#REF!</f>
        <v>#REF!</v>
      </c>
      <c r="DQ15" t="e">
        <f>#REF!</f>
        <v>#REF!</v>
      </c>
      <c r="DR15" t="e">
        <f>#REF!</f>
        <v>#REF!</v>
      </c>
      <c r="DS15" t="e">
        <f>#REF!</f>
        <v>#REF!</v>
      </c>
      <c r="DT15" t="e">
        <f>#REF!</f>
        <v>#REF!</v>
      </c>
      <c r="DU15" t="e">
        <f>#REF!</f>
        <v>#REF!</v>
      </c>
      <c r="DV15" t="e">
        <f>#REF!</f>
        <v>#REF!</v>
      </c>
      <c r="DW15" t="e">
        <f>#REF!</f>
        <v>#REF!</v>
      </c>
      <c r="DX15" t="e">
        <f>#REF!</f>
        <v>#REF!</v>
      </c>
      <c r="DY15" t="e">
        <f>#REF!</f>
        <v>#REF!</v>
      </c>
      <c r="DZ15" t="e">
        <f>#REF!</f>
        <v>#REF!</v>
      </c>
      <c r="EA15" t="e">
        <f>#REF!</f>
        <v>#REF!</v>
      </c>
      <c r="EB15" t="e">
        <f>#REF!</f>
        <v>#REF!</v>
      </c>
      <c r="EC15" t="e">
        <f>#REF!</f>
        <v>#REF!</v>
      </c>
      <c r="ED15" t="e">
        <f>#REF!</f>
        <v>#REF!</v>
      </c>
      <c r="EE15" t="e">
        <f>#REF!</f>
        <v>#REF!</v>
      </c>
      <c r="EF15" t="e">
        <f>#REF!</f>
        <v>#REF!</v>
      </c>
      <c r="EG15" t="e">
        <f>#REF!</f>
        <v>#REF!</v>
      </c>
      <c r="EH15" t="e">
        <f>#REF!</f>
        <v>#REF!</v>
      </c>
      <c r="EI15" t="e">
        <f>#REF!</f>
        <v>#REF!</v>
      </c>
      <c r="EJ15" t="e">
        <f>#REF!</f>
        <v>#REF!</v>
      </c>
      <c r="EK15" t="e">
        <f>#REF!</f>
        <v>#REF!</v>
      </c>
      <c r="EL15" t="e">
        <f>#REF!</f>
        <v>#REF!</v>
      </c>
      <c r="EM15" t="e">
        <f>#REF!</f>
        <v>#REF!</v>
      </c>
      <c r="EN15" t="e">
        <f>#REF!</f>
        <v>#REF!</v>
      </c>
      <c r="EO15" t="e">
        <f>#REF!</f>
        <v>#REF!</v>
      </c>
      <c r="EP15" t="e">
        <f>#REF!</f>
        <v>#REF!</v>
      </c>
      <c r="EQ15" t="e">
        <f>#REF!</f>
        <v>#REF!</v>
      </c>
      <c r="ER15" t="e">
        <f>#REF!</f>
        <v>#REF!</v>
      </c>
      <c r="ES15" t="e">
        <f>#REF!</f>
        <v>#REF!</v>
      </c>
      <c r="ET15" t="e">
        <f>#REF!</f>
        <v>#REF!</v>
      </c>
      <c r="EU15" t="e">
        <f>#REF!</f>
        <v>#REF!</v>
      </c>
      <c r="EV15" t="e">
        <f>#REF!</f>
        <v>#REF!</v>
      </c>
      <c r="EW15" t="e">
        <f>#REF!</f>
        <v>#REF!</v>
      </c>
      <c r="EX15" t="e">
        <f>#REF!</f>
        <v>#REF!</v>
      </c>
      <c r="EY15" t="e">
        <f>#REF!</f>
        <v>#REF!</v>
      </c>
      <c r="EZ15" t="e">
        <f>#REF!</f>
        <v>#REF!</v>
      </c>
      <c r="FA15" t="e">
        <f>#REF!</f>
        <v>#REF!</v>
      </c>
      <c r="FB15" t="e">
        <f>#REF!</f>
        <v>#REF!</v>
      </c>
      <c r="FC15" t="e">
        <f>#REF!</f>
        <v>#REF!</v>
      </c>
      <c r="FD15" t="e">
        <f>#REF!</f>
        <v>#REF!</v>
      </c>
      <c r="FE15" t="e">
        <f>#REF!</f>
        <v>#REF!</v>
      </c>
      <c r="FF15" t="e">
        <f>#REF!</f>
        <v>#REF!</v>
      </c>
      <c r="FG15" t="e">
        <f>#REF!</f>
        <v>#REF!</v>
      </c>
      <c r="FH15" t="e">
        <f>#REF!</f>
        <v>#REF!</v>
      </c>
      <c r="FI15" t="e">
        <f>#REF!</f>
        <v>#REF!</v>
      </c>
      <c r="FJ15" t="e">
        <f>#REF!</f>
        <v>#REF!</v>
      </c>
      <c r="FK15" t="e">
        <f>#REF!</f>
        <v>#REF!</v>
      </c>
      <c r="FL15" t="e">
        <f>#REF!</f>
        <v>#REF!</v>
      </c>
      <c r="FM15" t="e">
        <f>#REF!</f>
        <v>#REF!</v>
      </c>
      <c r="FN15" t="e">
        <f>#REF!</f>
        <v>#REF!</v>
      </c>
    </row>
    <row r="16" spans="1:170" ht="15" x14ac:dyDescent="0.25">
      <c r="A16" s="619">
        <v>1</v>
      </c>
      <c r="B16" s="133" t="e">
        <f>RIGHT(#REF!,LEN(#REF!)-(FIND("Standards",#REF!,1)+9))</f>
        <v>#REF!</v>
      </c>
      <c r="C16" s="620" t="e">
        <f>#REF!</f>
        <v>#REF!</v>
      </c>
      <c r="D16" s="620">
        <v>72686</v>
      </c>
      <c r="E16" s="621" t="e">
        <f>#REF!</f>
        <v>#REF!</v>
      </c>
      <c r="F16" s="621" t="e">
        <f>#REF!</f>
        <v>#REF!</v>
      </c>
      <c r="G16" s="619" t="e">
        <f>#REF!</f>
        <v>#REF!</v>
      </c>
      <c r="H16" s="619" t="e">
        <f>#REF!</f>
        <v>#REF!</v>
      </c>
      <c r="I16" s="621" t="e">
        <f>#REF!</f>
        <v>#REF!</v>
      </c>
      <c r="J16" s="619" t="e">
        <f>#REF!</f>
        <v>#REF!</v>
      </c>
      <c r="K16" s="621" t="e">
        <f>#REF!</f>
        <v>#REF!</v>
      </c>
      <c r="L16" s="622" t="e">
        <f>#REF!</f>
        <v>#REF!</v>
      </c>
      <c r="M16" s="622" t="e">
        <f>#REF!</f>
        <v>#REF!</v>
      </c>
      <c r="N16" t="e">
        <f>#REF!</f>
        <v>#REF!</v>
      </c>
      <c r="O16" t="e">
        <f>#REF!</f>
        <v>#REF!</v>
      </c>
      <c r="P16" t="e">
        <f>#REF!</f>
        <v>#REF!</v>
      </c>
      <c r="Q16" s="136" t="e">
        <f>#REF!</f>
        <v>#REF!</v>
      </c>
      <c r="R16" s="136" t="e">
        <f>#REF!</f>
        <v>#REF!</v>
      </c>
      <c r="S16" s="136" t="e">
        <f>#REF!</f>
        <v>#REF!</v>
      </c>
      <c r="T16" s="136" t="e">
        <f>#REF!</f>
        <v>#REF!</v>
      </c>
      <c r="U16" s="136" t="e">
        <f>#REF!</f>
        <v>#REF!</v>
      </c>
      <c r="V16" s="136" t="e">
        <f>#REF!</f>
        <v>#REF!</v>
      </c>
      <c r="W16" s="136" t="e">
        <f>#REF!</f>
        <v>#REF!</v>
      </c>
      <c r="X16" s="136" t="e">
        <f>#REF!</f>
        <v>#REF!</v>
      </c>
      <c r="Y16" s="136" t="e">
        <f>#REF!</f>
        <v>#REF!</v>
      </c>
      <c r="Z16" s="136" t="e">
        <f>#REF!</f>
        <v>#REF!</v>
      </c>
      <c r="AA16" s="136" t="e">
        <f>#REF!</f>
        <v>#REF!</v>
      </c>
      <c r="AB16" s="136" t="e">
        <f>#REF!</f>
        <v>#REF!</v>
      </c>
      <c r="AC16" s="136" t="e">
        <f>#REF!</f>
        <v>#REF!</v>
      </c>
      <c r="AD16" s="136" t="e">
        <f>#REF!</f>
        <v>#REF!</v>
      </c>
      <c r="AE16" s="136" t="e">
        <f>#REF!</f>
        <v>#REF!</v>
      </c>
      <c r="AF16" s="136" t="e">
        <f>#REF!</f>
        <v>#REF!</v>
      </c>
      <c r="AG16" s="136" t="e">
        <f>#REF!</f>
        <v>#REF!</v>
      </c>
      <c r="AH16" s="136" t="e">
        <f>#REF!</f>
        <v>#REF!</v>
      </c>
      <c r="AI16" s="136" t="e">
        <f>#REF!</f>
        <v>#REF!</v>
      </c>
      <c r="AJ16" s="136" t="e">
        <f>#REF!</f>
        <v>#REF!</v>
      </c>
      <c r="AK16" s="136" t="e">
        <f>#REF!</f>
        <v>#REF!</v>
      </c>
      <c r="AL16" s="13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s="137" t="e">
        <f>#REF!</f>
        <v>#REF!</v>
      </c>
      <c r="BO16" s="137" t="e">
        <f>#REF!</f>
        <v>#REF!</v>
      </c>
      <c r="BP16" s="137" t="e">
        <f>#REF!</f>
        <v>#REF!</v>
      </c>
      <c r="BQ16" s="137" t="e">
        <f>#REF!</f>
        <v>#REF!</v>
      </c>
      <c r="BR16" s="137" t="e">
        <f>#REF!</f>
        <v>#REF!</v>
      </c>
      <c r="BS16" s="137" t="e">
        <f>#REF!</f>
        <v>#REF!</v>
      </c>
      <c r="BT16" s="137" t="e">
        <f>#REF!</f>
        <v>#REF!</v>
      </c>
      <c r="BU16" s="137" t="e">
        <f>#REF!</f>
        <v>#REF!</v>
      </c>
      <c r="BV16" s="137" t="e">
        <f>#REF!</f>
        <v>#REF!</v>
      </c>
      <c r="BW16" s="137" t="e">
        <f>#REF!</f>
        <v>#REF!</v>
      </c>
      <c r="BX16" s="137" t="e">
        <f>#REF!</f>
        <v>#REF!</v>
      </c>
      <c r="BY16" s="137" t="e">
        <f>#REF!</f>
        <v>#REF!</v>
      </c>
      <c r="BZ16" s="137" t="e">
        <f>#REF!</f>
        <v>#REF!</v>
      </c>
      <c r="CA16" s="137" t="e">
        <f>#REF!</f>
        <v>#REF!</v>
      </c>
      <c r="CB16" t="e">
        <f>#REF!</f>
        <v>#REF!</v>
      </c>
      <c r="CC16" t="e">
        <f>#REF!</f>
        <v>#REF!</v>
      </c>
      <c r="CD16" t="e">
        <f>#REF!</f>
        <v>#REF!</v>
      </c>
      <c r="CE16" t="e">
        <f>#REF!</f>
        <v>#REF!</v>
      </c>
      <c r="CF16" t="e">
        <f>#REF!</f>
        <v>#REF!</v>
      </c>
      <c r="CG16" t="e">
        <f>#REF!</f>
        <v>#REF!</v>
      </c>
      <c r="CH16" t="e">
        <f>#REF!</f>
        <v>#REF!</v>
      </c>
      <c r="CI16" t="e">
        <f>#REF!</f>
        <v>#REF!</v>
      </c>
      <c r="CJ16" s="136" t="e">
        <f>#REF!</f>
        <v>#REF!</v>
      </c>
      <c r="CK16" s="136" t="e">
        <f>#REF!</f>
        <v>#REF!</v>
      </c>
      <c r="CL16" s="136" t="e">
        <f>#REF!</f>
        <v>#REF!</v>
      </c>
      <c r="CM16" s="136" t="e">
        <f>#REF!</f>
        <v>#REF!</v>
      </c>
      <c r="CN16" s="136" t="e">
        <f>#REF!</f>
        <v>#REF!</v>
      </c>
      <c r="CO16" s="136" t="e">
        <f>#REF!</f>
        <v>#REF!</v>
      </c>
      <c r="CP16" t="e">
        <f>#REF!</f>
        <v>#REF!</v>
      </c>
      <c r="CQ16" t="e">
        <f>#REF!</f>
        <v>#REF!</v>
      </c>
      <c r="CR16" t="e">
        <f>#REF!</f>
        <v>#REF!</v>
      </c>
      <c r="CS16" t="e">
        <f>#REF!</f>
        <v>#REF!</v>
      </c>
      <c r="CT16" t="e">
        <f>#REF!</f>
        <v>#REF!</v>
      </c>
      <c r="CU16" t="e">
        <f>#REF!</f>
        <v>#REF!</v>
      </c>
      <c r="CV16" t="e">
        <f>#REF!</f>
        <v>#REF!</v>
      </c>
      <c r="CW16" t="e">
        <f>#REF!</f>
        <v>#REF!</v>
      </c>
      <c r="CX16" t="e">
        <f>#REF!</f>
        <v>#REF!</v>
      </c>
      <c r="CY16" t="e">
        <f>#REF!</f>
        <v>#REF!</v>
      </c>
      <c r="CZ16" t="e">
        <f>#REF!</f>
        <v>#REF!</v>
      </c>
      <c r="DA16" t="e">
        <f>#REF!</f>
        <v>#REF!</v>
      </c>
      <c r="DB16" t="e">
        <f>#REF!</f>
        <v>#REF!</v>
      </c>
      <c r="DC16" t="e">
        <f>#REF!</f>
        <v>#REF!</v>
      </c>
      <c r="DD16" t="e">
        <f>#REF!</f>
        <v>#REF!</v>
      </c>
      <c r="DE16" t="e">
        <f>#REF!</f>
        <v>#REF!</v>
      </c>
      <c r="DF16" t="e">
        <f>#REF!</f>
        <v>#REF!</v>
      </c>
      <c r="DG16" t="e">
        <f>#REF!</f>
        <v>#REF!</v>
      </c>
      <c r="DH16" t="e">
        <f>#REF!</f>
        <v>#REF!</v>
      </c>
      <c r="DI16" t="e">
        <f>#REF!</f>
        <v>#REF!</v>
      </c>
      <c r="DJ16" t="e">
        <f>#REF!</f>
        <v>#REF!</v>
      </c>
      <c r="DK16" t="e">
        <f>#REF!</f>
        <v>#REF!</v>
      </c>
      <c r="DL16" t="e">
        <f>#REF!</f>
        <v>#REF!</v>
      </c>
      <c r="DM16" t="e">
        <f>#REF!</f>
        <v>#REF!</v>
      </c>
      <c r="DN16" t="e">
        <f>#REF!</f>
        <v>#REF!</v>
      </c>
      <c r="DO16" t="e">
        <f>#REF!</f>
        <v>#REF!</v>
      </c>
      <c r="DP16" t="e">
        <f>#REF!</f>
        <v>#REF!</v>
      </c>
      <c r="DQ16" t="e">
        <f>#REF!</f>
        <v>#REF!</v>
      </c>
      <c r="DR16" t="e">
        <f>#REF!</f>
        <v>#REF!</v>
      </c>
      <c r="DS16" t="e">
        <f>#REF!</f>
        <v>#REF!</v>
      </c>
      <c r="DT16" t="e">
        <f>#REF!</f>
        <v>#REF!</v>
      </c>
      <c r="DU16" t="e">
        <f>#REF!</f>
        <v>#REF!</v>
      </c>
      <c r="DV16" t="e">
        <f>#REF!</f>
        <v>#REF!</v>
      </c>
      <c r="DW16" t="e">
        <f>#REF!</f>
        <v>#REF!</v>
      </c>
      <c r="DX16" t="e">
        <f>#REF!</f>
        <v>#REF!</v>
      </c>
      <c r="DY16" t="e">
        <f>#REF!</f>
        <v>#REF!</v>
      </c>
      <c r="DZ16" t="e">
        <f>#REF!</f>
        <v>#REF!</v>
      </c>
      <c r="EA16" t="e">
        <f>#REF!</f>
        <v>#REF!</v>
      </c>
      <c r="EB16" t="e">
        <f>#REF!</f>
        <v>#REF!</v>
      </c>
      <c r="EC16" t="e">
        <f>#REF!</f>
        <v>#REF!</v>
      </c>
      <c r="ED16" t="e">
        <f>#REF!</f>
        <v>#REF!</v>
      </c>
      <c r="EE16" t="e">
        <f>#REF!</f>
        <v>#REF!</v>
      </c>
      <c r="EF16" t="e">
        <f>#REF!</f>
        <v>#REF!</v>
      </c>
      <c r="EG16" t="e">
        <f>#REF!</f>
        <v>#REF!</v>
      </c>
      <c r="EH16" t="e">
        <f>#REF!</f>
        <v>#REF!</v>
      </c>
      <c r="EI16" t="e">
        <f>#REF!</f>
        <v>#REF!</v>
      </c>
      <c r="EJ16" t="e">
        <f>#REF!</f>
        <v>#REF!</v>
      </c>
      <c r="EK16" t="e">
        <f>#REF!</f>
        <v>#REF!</v>
      </c>
      <c r="EL16" t="e">
        <f>#REF!</f>
        <v>#REF!</v>
      </c>
      <c r="EM16" t="e">
        <f>#REF!</f>
        <v>#REF!</v>
      </c>
      <c r="EN16" t="e">
        <f>#REF!</f>
        <v>#REF!</v>
      </c>
      <c r="EO16" t="e">
        <f>#REF!</f>
        <v>#REF!</v>
      </c>
      <c r="EP16" t="e">
        <f>#REF!</f>
        <v>#REF!</v>
      </c>
      <c r="EQ16" t="e">
        <f>#REF!</f>
        <v>#REF!</v>
      </c>
      <c r="ER16" t="e">
        <f>#REF!</f>
        <v>#REF!</v>
      </c>
      <c r="ES16" t="e">
        <f>#REF!</f>
        <v>#REF!</v>
      </c>
      <c r="ET16" t="e">
        <f>#REF!</f>
        <v>#REF!</v>
      </c>
      <c r="EU16" t="e">
        <f>#REF!</f>
        <v>#REF!</v>
      </c>
      <c r="EV16" t="e">
        <f>#REF!</f>
        <v>#REF!</v>
      </c>
      <c r="EW16" t="e">
        <f>#REF!</f>
        <v>#REF!</v>
      </c>
      <c r="EX16" t="e">
        <f>#REF!</f>
        <v>#REF!</v>
      </c>
      <c r="EY16" t="e">
        <f>#REF!</f>
        <v>#REF!</v>
      </c>
      <c r="EZ16" t="e">
        <f>#REF!</f>
        <v>#REF!</v>
      </c>
      <c r="FA16" t="e">
        <f>#REF!</f>
        <v>#REF!</v>
      </c>
      <c r="FB16" t="e">
        <f>#REF!</f>
        <v>#REF!</v>
      </c>
      <c r="FC16" t="e">
        <f>#REF!</f>
        <v>#REF!</v>
      </c>
      <c r="FD16" t="e">
        <f>#REF!</f>
        <v>#REF!</v>
      </c>
      <c r="FE16" t="e">
        <f>#REF!</f>
        <v>#REF!</v>
      </c>
      <c r="FF16" t="e">
        <f>#REF!</f>
        <v>#REF!</v>
      </c>
      <c r="FG16" t="e">
        <f>#REF!</f>
        <v>#REF!</v>
      </c>
      <c r="FH16" t="e">
        <f>#REF!</f>
        <v>#REF!</v>
      </c>
      <c r="FI16" t="e">
        <f>#REF!</f>
        <v>#REF!</v>
      </c>
      <c r="FJ16" t="e">
        <f>#REF!</f>
        <v>#REF!</v>
      </c>
      <c r="FK16" t="e">
        <f>#REF!</f>
        <v>#REF!</v>
      </c>
      <c r="FL16" t="e">
        <f>#REF!</f>
        <v>#REF!</v>
      </c>
      <c r="FM16" t="e">
        <f>#REF!</f>
        <v>#REF!</v>
      </c>
      <c r="FN16" t="e">
        <f>#REF!</f>
        <v>#REF!</v>
      </c>
    </row>
    <row r="17" spans="1:170" ht="15" x14ac:dyDescent="0.25">
      <c r="A17" s="619">
        <v>1</v>
      </c>
      <c r="B17" s="133" t="e">
        <f>RIGHT(#REF!,LEN(#REF!)-(FIND("Standards",#REF!,1)+9))</f>
        <v>#REF!</v>
      </c>
      <c r="C17" s="620" t="e">
        <f>#REF!</f>
        <v>#REF!</v>
      </c>
      <c r="D17" s="620">
        <v>72686</v>
      </c>
      <c r="E17" s="621" t="e">
        <f>#REF!</f>
        <v>#REF!</v>
      </c>
      <c r="F17" s="621" t="e">
        <f>#REF!</f>
        <v>#REF!</v>
      </c>
      <c r="G17" s="619" t="e">
        <f>#REF!</f>
        <v>#REF!</v>
      </c>
      <c r="H17" s="619" t="e">
        <f>#REF!</f>
        <v>#REF!</v>
      </c>
      <c r="I17" s="621" t="e">
        <f>#REF!</f>
        <v>#REF!</v>
      </c>
      <c r="J17" s="619" t="e">
        <f>#REF!</f>
        <v>#REF!</v>
      </c>
      <c r="K17" s="621" t="e">
        <f>#REF!</f>
        <v>#REF!</v>
      </c>
      <c r="L17" s="622" t="e">
        <f>#REF!</f>
        <v>#REF!</v>
      </c>
      <c r="M17" s="622" t="e">
        <f>#REF!</f>
        <v>#REF!</v>
      </c>
      <c r="N17" t="e">
        <f>#REF!</f>
        <v>#REF!</v>
      </c>
      <c r="O17" t="e">
        <f>#REF!</f>
        <v>#REF!</v>
      </c>
      <c r="P17" t="e">
        <f>#REF!</f>
        <v>#REF!</v>
      </c>
      <c r="Q17" s="136" t="e">
        <f>#REF!</f>
        <v>#REF!</v>
      </c>
      <c r="R17" s="136" t="e">
        <f>#REF!</f>
        <v>#REF!</v>
      </c>
      <c r="S17" s="136" t="e">
        <f>#REF!</f>
        <v>#REF!</v>
      </c>
      <c r="T17" s="136" t="e">
        <f>#REF!</f>
        <v>#REF!</v>
      </c>
      <c r="U17" s="136" t="e">
        <f>#REF!</f>
        <v>#REF!</v>
      </c>
      <c r="V17" s="136" t="e">
        <f>#REF!</f>
        <v>#REF!</v>
      </c>
      <c r="W17" s="136" t="e">
        <f>#REF!</f>
        <v>#REF!</v>
      </c>
      <c r="X17" s="136" t="e">
        <f>#REF!</f>
        <v>#REF!</v>
      </c>
      <c r="Y17" s="136" t="e">
        <f>#REF!</f>
        <v>#REF!</v>
      </c>
      <c r="Z17" s="136" t="e">
        <f>#REF!</f>
        <v>#REF!</v>
      </c>
      <c r="AA17" s="136" t="e">
        <f>#REF!</f>
        <v>#REF!</v>
      </c>
      <c r="AB17" s="136" t="e">
        <f>#REF!</f>
        <v>#REF!</v>
      </c>
      <c r="AC17" s="136" t="e">
        <f>#REF!</f>
        <v>#REF!</v>
      </c>
      <c r="AD17" s="136" t="e">
        <f>#REF!</f>
        <v>#REF!</v>
      </c>
      <c r="AE17" s="136" t="e">
        <f>#REF!</f>
        <v>#REF!</v>
      </c>
      <c r="AF17" s="136" t="e">
        <f>#REF!</f>
        <v>#REF!</v>
      </c>
      <c r="AG17" s="136" t="e">
        <f>#REF!</f>
        <v>#REF!</v>
      </c>
      <c r="AH17" s="136" t="e">
        <f>#REF!</f>
        <v>#REF!</v>
      </c>
      <c r="AI17" s="136" t="e">
        <f>#REF!</f>
        <v>#REF!</v>
      </c>
      <c r="AJ17" s="136" t="e">
        <f>#REF!</f>
        <v>#REF!</v>
      </c>
      <c r="AK17" s="136" t="e">
        <f>#REF!</f>
        <v>#REF!</v>
      </c>
      <c r="AL17" s="136"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s="137" t="e">
        <f>#REF!</f>
        <v>#REF!</v>
      </c>
      <c r="BO17" s="137" t="e">
        <f>#REF!</f>
        <v>#REF!</v>
      </c>
      <c r="BP17" s="137" t="e">
        <f>#REF!</f>
        <v>#REF!</v>
      </c>
      <c r="BQ17" s="137" t="e">
        <f>#REF!</f>
        <v>#REF!</v>
      </c>
      <c r="BR17" s="137" t="e">
        <f>#REF!</f>
        <v>#REF!</v>
      </c>
      <c r="BS17" s="137" t="e">
        <f>#REF!</f>
        <v>#REF!</v>
      </c>
      <c r="BT17" s="137" t="e">
        <f>#REF!</f>
        <v>#REF!</v>
      </c>
      <c r="BU17" s="137" t="e">
        <f>#REF!</f>
        <v>#REF!</v>
      </c>
      <c r="BV17" s="137" t="e">
        <f>#REF!</f>
        <v>#REF!</v>
      </c>
      <c r="BW17" s="137" t="e">
        <f>#REF!</f>
        <v>#REF!</v>
      </c>
      <c r="BX17" s="137" t="e">
        <f>#REF!</f>
        <v>#REF!</v>
      </c>
      <c r="BY17" s="137" t="e">
        <f>#REF!</f>
        <v>#REF!</v>
      </c>
      <c r="BZ17" s="137" t="e">
        <f>#REF!</f>
        <v>#REF!</v>
      </c>
      <c r="CA17" s="137" t="e">
        <f>#REF!</f>
        <v>#REF!</v>
      </c>
      <c r="CB17" t="e">
        <f>#REF!</f>
        <v>#REF!</v>
      </c>
      <c r="CC17" t="e">
        <f>#REF!</f>
        <v>#REF!</v>
      </c>
      <c r="CD17" t="e">
        <f>#REF!</f>
        <v>#REF!</v>
      </c>
      <c r="CE17" t="e">
        <f>#REF!</f>
        <v>#REF!</v>
      </c>
      <c r="CF17" t="e">
        <f>#REF!</f>
        <v>#REF!</v>
      </c>
      <c r="CG17" t="e">
        <f>#REF!</f>
        <v>#REF!</v>
      </c>
      <c r="CH17" t="e">
        <f>#REF!</f>
        <v>#REF!</v>
      </c>
      <c r="CI17" t="e">
        <f>#REF!</f>
        <v>#REF!</v>
      </c>
      <c r="CJ17" s="136" t="e">
        <f>#REF!</f>
        <v>#REF!</v>
      </c>
      <c r="CK17" s="136" t="e">
        <f>#REF!</f>
        <v>#REF!</v>
      </c>
      <c r="CL17" s="136" t="e">
        <f>#REF!</f>
        <v>#REF!</v>
      </c>
      <c r="CM17" s="136" t="e">
        <f>#REF!</f>
        <v>#REF!</v>
      </c>
      <c r="CN17" s="136" t="e">
        <f>#REF!</f>
        <v>#REF!</v>
      </c>
      <c r="CO17" s="136" t="e">
        <f>#REF!</f>
        <v>#REF!</v>
      </c>
      <c r="CP17" t="e">
        <f>#REF!</f>
        <v>#REF!</v>
      </c>
      <c r="CQ17" t="e">
        <f>#REF!</f>
        <v>#REF!</v>
      </c>
      <c r="CR17" t="e">
        <f>#REF!</f>
        <v>#REF!</v>
      </c>
      <c r="CS17" t="e">
        <f>#REF!</f>
        <v>#REF!</v>
      </c>
      <c r="CT17" t="e">
        <f>#REF!</f>
        <v>#REF!</v>
      </c>
      <c r="CU17" t="e">
        <f>#REF!</f>
        <v>#REF!</v>
      </c>
      <c r="CV17" t="e">
        <f>#REF!</f>
        <v>#REF!</v>
      </c>
      <c r="CW17" t="e">
        <f>#REF!</f>
        <v>#REF!</v>
      </c>
      <c r="CX17" t="e">
        <f>#REF!</f>
        <v>#REF!</v>
      </c>
      <c r="CY17" t="e">
        <f>#REF!</f>
        <v>#REF!</v>
      </c>
      <c r="CZ17" t="e">
        <f>#REF!</f>
        <v>#REF!</v>
      </c>
      <c r="DA17" t="e">
        <f>#REF!</f>
        <v>#REF!</v>
      </c>
      <c r="DB17" t="e">
        <f>#REF!</f>
        <v>#REF!</v>
      </c>
      <c r="DC17" t="e">
        <f>#REF!</f>
        <v>#REF!</v>
      </c>
      <c r="DD17" t="e">
        <f>#REF!</f>
        <v>#REF!</v>
      </c>
      <c r="DE17" t="e">
        <f>#REF!</f>
        <v>#REF!</v>
      </c>
      <c r="DF17" t="e">
        <f>#REF!</f>
        <v>#REF!</v>
      </c>
      <c r="DG17" t="e">
        <f>#REF!</f>
        <v>#REF!</v>
      </c>
      <c r="DH17" t="e">
        <f>#REF!</f>
        <v>#REF!</v>
      </c>
      <c r="DI17" t="e">
        <f>#REF!</f>
        <v>#REF!</v>
      </c>
      <c r="DJ17" t="e">
        <f>#REF!</f>
        <v>#REF!</v>
      </c>
      <c r="DK17" t="e">
        <f>#REF!</f>
        <v>#REF!</v>
      </c>
      <c r="DL17" t="e">
        <f>#REF!</f>
        <v>#REF!</v>
      </c>
      <c r="DM17" t="e">
        <f>#REF!</f>
        <v>#REF!</v>
      </c>
      <c r="DN17" t="e">
        <f>#REF!</f>
        <v>#REF!</v>
      </c>
      <c r="DO17" t="e">
        <f>#REF!</f>
        <v>#REF!</v>
      </c>
      <c r="DP17" t="e">
        <f>#REF!</f>
        <v>#REF!</v>
      </c>
      <c r="DQ17" t="e">
        <f>#REF!</f>
        <v>#REF!</v>
      </c>
      <c r="DR17" t="e">
        <f>#REF!</f>
        <v>#REF!</v>
      </c>
      <c r="DS17" t="e">
        <f>#REF!</f>
        <v>#REF!</v>
      </c>
      <c r="DT17" t="e">
        <f>#REF!</f>
        <v>#REF!</v>
      </c>
      <c r="DU17" t="e">
        <f>#REF!</f>
        <v>#REF!</v>
      </c>
      <c r="DV17" t="e">
        <f>#REF!</f>
        <v>#REF!</v>
      </c>
      <c r="DW17" t="e">
        <f>#REF!</f>
        <v>#REF!</v>
      </c>
      <c r="DX17" t="e">
        <f>#REF!</f>
        <v>#REF!</v>
      </c>
      <c r="DY17" t="e">
        <f>#REF!</f>
        <v>#REF!</v>
      </c>
      <c r="DZ17" t="e">
        <f>#REF!</f>
        <v>#REF!</v>
      </c>
      <c r="EA17" t="e">
        <f>#REF!</f>
        <v>#REF!</v>
      </c>
      <c r="EB17" t="e">
        <f>#REF!</f>
        <v>#REF!</v>
      </c>
      <c r="EC17" t="e">
        <f>#REF!</f>
        <v>#REF!</v>
      </c>
      <c r="ED17" t="e">
        <f>#REF!</f>
        <v>#REF!</v>
      </c>
      <c r="EE17" t="e">
        <f>#REF!</f>
        <v>#REF!</v>
      </c>
      <c r="EF17" t="e">
        <f>#REF!</f>
        <v>#REF!</v>
      </c>
      <c r="EG17" t="e">
        <f>#REF!</f>
        <v>#REF!</v>
      </c>
      <c r="EH17" t="e">
        <f>#REF!</f>
        <v>#REF!</v>
      </c>
      <c r="EI17" t="e">
        <f>#REF!</f>
        <v>#REF!</v>
      </c>
      <c r="EJ17" t="e">
        <f>#REF!</f>
        <v>#REF!</v>
      </c>
      <c r="EK17" t="e">
        <f>#REF!</f>
        <v>#REF!</v>
      </c>
      <c r="EL17" t="e">
        <f>#REF!</f>
        <v>#REF!</v>
      </c>
      <c r="EM17" t="e">
        <f>#REF!</f>
        <v>#REF!</v>
      </c>
      <c r="EN17" t="e">
        <f>#REF!</f>
        <v>#REF!</v>
      </c>
      <c r="EO17" t="e">
        <f>#REF!</f>
        <v>#REF!</v>
      </c>
      <c r="EP17" t="e">
        <f>#REF!</f>
        <v>#REF!</v>
      </c>
      <c r="EQ17" t="e">
        <f>#REF!</f>
        <v>#REF!</v>
      </c>
      <c r="ER17" t="e">
        <f>#REF!</f>
        <v>#REF!</v>
      </c>
      <c r="ES17" t="e">
        <f>#REF!</f>
        <v>#REF!</v>
      </c>
      <c r="ET17" t="e">
        <f>#REF!</f>
        <v>#REF!</v>
      </c>
      <c r="EU17" t="e">
        <f>#REF!</f>
        <v>#REF!</v>
      </c>
      <c r="EV17" t="e">
        <f>#REF!</f>
        <v>#REF!</v>
      </c>
      <c r="EW17" t="e">
        <f>#REF!</f>
        <v>#REF!</v>
      </c>
      <c r="EX17" t="e">
        <f>#REF!</f>
        <v>#REF!</v>
      </c>
      <c r="EY17" t="e">
        <f>#REF!</f>
        <v>#REF!</v>
      </c>
      <c r="EZ17" t="e">
        <f>#REF!</f>
        <v>#REF!</v>
      </c>
      <c r="FA17" t="e">
        <f>#REF!</f>
        <v>#REF!</v>
      </c>
      <c r="FB17" t="e">
        <f>#REF!</f>
        <v>#REF!</v>
      </c>
      <c r="FC17" t="e">
        <f>#REF!</f>
        <v>#REF!</v>
      </c>
      <c r="FD17" t="e">
        <f>#REF!</f>
        <v>#REF!</v>
      </c>
      <c r="FE17" t="e">
        <f>#REF!</f>
        <v>#REF!</v>
      </c>
      <c r="FF17" t="e">
        <f>#REF!</f>
        <v>#REF!</v>
      </c>
      <c r="FG17" t="e">
        <f>#REF!</f>
        <v>#REF!</v>
      </c>
      <c r="FH17" t="e">
        <f>#REF!</f>
        <v>#REF!</v>
      </c>
      <c r="FI17" t="e">
        <f>#REF!</f>
        <v>#REF!</v>
      </c>
      <c r="FJ17" t="e">
        <f>#REF!</f>
        <v>#REF!</v>
      </c>
      <c r="FK17" t="e">
        <f>#REF!</f>
        <v>#REF!</v>
      </c>
      <c r="FL17" t="e">
        <f>#REF!</f>
        <v>#REF!</v>
      </c>
      <c r="FM17" t="e">
        <f>#REF!</f>
        <v>#REF!</v>
      </c>
      <c r="FN17" t="e">
        <f>#REF!</f>
        <v>#REF!</v>
      </c>
    </row>
    <row r="18" spans="1:170" ht="15" x14ac:dyDescent="0.25">
      <c r="A18" s="619">
        <v>1</v>
      </c>
      <c r="B18" s="133" t="e">
        <f>RIGHT(#REF!,LEN(#REF!)-(FIND("Standards",#REF!,1)+9))</f>
        <v>#REF!</v>
      </c>
      <c r="C18" s="620" t="e">
        <f>#REF!</f>
        <v>#REF!</v>
      </c>
      <c r="D18" s="620">
        <v>72686</v>
      </c>
      <c r="E18" s="621" t="e">
        <f>#REF!</f>
        <v>#REF!</v>
      </c>
      <c r="F18" s="621" t="e">
        <f>#REF!</f>
        <v>#REF!</v>
      </c>
      <c r="G18" s="619" t="e">
        <f>#REF!</f>
        <v>#REF!</v>
      </c>
      <c r="H18" s="619" t="e">
        <f>#REF!</f>
        <v>#REF!</v>
      </c>
      <c r="I18" s="621" t="e">
        <f>#REF!</f>
        <v>#REF!</v>
      </c>
      <c r="J18" s="619" t="e">
        <f>#REF!</f>
        <v>#REF!</v>
      </c>
      <c r="K18" s="621" t="e">
        <f>#REF!</f>
        <v>#REF!</v>
      </c>
      <c r="L18" s="622" t="e">
        <f>#REF!</f>
        <v>#REF!</v>
      </c>
      <c r="M18" s="622" t="e">
        <f>#REF!</f>
        <v>#REF!</v>
      </c>
      <c r="N18" t="e">
        <f>#REF!</f>
        <v>#REF!</v>
      </c>
      <c r="O18" t="e">
        <f>#REF!</f>
        <v>#REF!</v>
      </c>
      <c r="P18" t="e">
        <f>#REF!</f>
        <v>#REF!</v>
      </c>
      <c r="Q18" s="136" t="e">
        <f>#REF!</f>
        <v>#REF!</v>
      </c>
      <c r="R18" s="136" t="e">
        <f>#REF!</f>
        <v>#REF!</v>
      </c>
      <c r="S18" s="136" t="e">
        <f>#REF!</f>
        <v>#REF!</v>
      </c>
      <c r="T18" s="136" t="e">
        <f>#REF!</f>
        <v>#REF!</v>
      </c>
      <c r="U18" s="136" t="e">
        <f>#REF!</f>
        <v>#REF!</v>
      </c>
      <c r="V18" s="136" t="e">
        <f>#REF!</f>
        <v>#REF!</v>
      </c>
      <c r="W18" s="136" t="e">
        <f>#REF!</f>
        <v>#REF!</v>
      </c>
      <c r="X18" s="136" t="e">
        <f>#REF!</f>
        <v>#REF!</v>
      </c>
      <c r="Y18" s="136" t="e">
        <f>#REF!</f>
        <v>#REF!</v>
      </c>
      <c r="Z18" s="136" t="e">
        <f>#REF!</f>
        <v>#REF!</v>
      </c>
      <c r="AA18" s="136" t="e">
        <f>#REF!</f>
        <v>#REF!</v>
      </c>
      <c r="AB18" s="136" t="e">
        <f>#REF!</f>
        <v>#REF!</v>
      </c>
      <c r="AC18" s="136" t="e">
        <f>#REF!</f>
        <v>#REF!</v>
      </c>
      <c r="AD18" s="136" t="e">
        <f>#REF!</f>
        <v>#REF!</v>
      </c>
      <c r="AE18" s="136" t="e">
        <f>#REF!</f>
        <v>#REF!</v>
      </c>
      <c r="AF18" s="136" t="e">
        <f>#REF!</f>
        <v>#REF!</v>
      </c>
      <c r="AG18" s="136" t="e">
        <f>#REF!</f>
        <v>#REF!</v>
      </c>
      <c r="AH18" s="136" t="e">
        <f>#REF!</f>
        <v>#REF!</v>
      </c>
      <c r="AI18" s="136" t="e">
        <f>#REF!</f>
        <v>#REF!</v>
      </c>
      <c r="AJ18" s="136" t="e">
        <f>#REF!</f>
        <v>#REF!</v>
      </c>
      <c r="AK18" s="136" t="e">
        <f>#REF!</f>
        <v>#REF!</v>
      </c>
      <c r="AL18" s="136"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s="137" t="e">
        <f>#REF!</f>
        <v>#REF!</v>
      </c>
      <c r="BO18" s="137" t="e">
        <f>#REF!</f>
        <v>#REF!</v>
      </c>
      <c r="BP18" s="137" t="e">
        <f>#REF!</f>
        <v>#REF!</v>
      </c>
      <c r="BQ18" s="137" t="e">
        <f>#REF!</f>
        <v>#REF!</v>
      </c>
      <c r="BR18" s="137" t="e">
        <f>#REF!</f>
        <v>#REF!</v>
      </c>
      <c r="BS18" s="137" t="e">
        <f>#REF!</f>
        <v>#REF!</v>
      </c>
      <c r="BT18" s="137" t="e">
        <f>#REF!</f>
        <v>#REF!</v>
      </c>
      <c r="BU18" s="137" t="e">
        <f>#REF!</f>
        <v>#REF!</v>
      </c>
      <c r="BV18" s="137" t="e">
        <f>#REF!</f>
        <v>#REF!</v>
      </c>
      <c r="BW18" s="137" t="e">
        <f>#REF!</f>
        <v>#REF!</v>
      </c>
      <c r="BX18" s="137" t="e">
        <f>#REF!</f>
        <v>#REF!</v>
      </c>
      <c r="BY18" s="137" t="e">
        <f>#REF!</f>
        <v>#REF!</v>
      </c>
      <c r="BZ18" s="137" t="e">
        <f>#REF!</f>
        <v>#REF!</v>
      </c>
      <c r="CA18" s="137" t="e">
        <f>#REF!</f>
        <v>#REF!</v>
      </c>
      <c r="CB18" t="e">
        <f>#REF!</f>
        <v>#REF!</v>
      </c>
      <c r="CC18" t="e">
        <f>#REF!</f>
        <v>#REF!</v>
      </c>
      <c r="CD18" t="e">
        <f>#REF!</f>
        <v>#REF!</v>
      </c>
      <c r="CE18" t="e">
        <f>#REF!</f>
        <v>#REF!</v>
      </c>
      <c r="CF18" t="e">
        <f>#REF!</f>
        <v>#REF!</v>
      </c>
      <c r="CG18" t="e">
        <f>#REF!</f>
        <v>#REF!</v>
      </c>
      <c r="CH18" t="e">
        <f>#REF!</f>
        <v>#REF!</v>
      </c>
      <c r="CI18" t="e">
        <f>#REF!</f>
        <v>#REF!</v>
      </c>
      <c r="CJ18" s="136" t="e">
        <f>#REF!</f>
        <v>#REF!</v>
      </c>
      <c r="CK18" s="136" t="e">
        <f>#REF!</f>
        <v>#REF!</v>
      </c>
      <c r="CL18" s="136" t="e">
        <f>#REF!</f>
        <v>#REF!</v>
      </c>
      <c r="CM18" s="136" t="e">
        <f>#REF!</f>
        <v>#REF!</v>
      </c>
      <c r="CN18" s="136" t="e">
        <f>#REF!</f>
        <v>#REF!</v>
      </c>
      <c r="CO18" s="136" t="e">
        <f>#REF!</f>
        <v>#REF!</v>
      </c>
      <c r="CP18" t="e">
        <f>#REF!</f>
        <v>#REF!</v>
      </c>
      <c r="CQ18" t="e">
        <f>#REF!</f>
        <v>#REF!</v>
      </c>
      <c r="CR18" t="e">
        <f>#REF!</f>
        <v>#REF!</v>
      </c>
      <c r="CS18" t="e">
        <f>#REF!</f>
        <v>#REF!</v>
      </c>
      <c r="CT18" t="e">
        <f>#REF!</f>
        <v>#REF!</v>
      </c>
      <c r="CU18" t="e">
        <f>#REF!</f>
        <v>#REF!</v>
      </c>
      <c r="CV18" t="e">
        <f>#REF!</f>
        <v>#REF!</v>
      </c>
      <c r="CW18" t="e">
        <f>#REF!</f>
        <v>#REF!</v>
      </c>
      <c r="CX18" t="e">
        <f>#REF!</f>
        <v>#REF!</v>
      </c>
      <c r="CY18" t="e">
        <f>#REF!</f>
        <v>#REF!</v>
      </c>
      <c r="CZ18" t="e">
        <f>#REF!</f>
        <v>#REF!</v>
      </c>
      <c r="DA18" t="e">
        <f>#REF!</f>
        <v>#REF!</v>
      </c>
      <c r="DB18" t="e">
        <f>#REF!</f>
        <v>#REF!</v>
      </c>
      <c r="DC18" t="e">
        <f>#REF!</f>
        <v>#REF!</v>
      </c>
      <c r="DD18" t="e">
        <f>#REF!</f>
        <v>#REF!</v>
      </c>
      <c r="DE18" t="e">
        <f>#REF!</f>
        <v>#REF!</v>
      </c>
      <c r="DF18" t="e">
        <f>#REF!</f>
        <v>#REF!</v>
      </c>
      <c r="DG18" t="e">
        <f>#REF!</f>
        <v>#REF!</v>
      </c>
      <c r="DH18" t="e">
        <f>#REF!</f>
        <v>#REF!</v>
      </c>
      <c r="DI18" t="e">
        <f>#REF!</f>
        <v>#REF!</v>
      </c>
      <c r="DJ18" t="e">
        <f>#REF!</f>
        <v>#REF!</v>
      </c>
      <c r="DK18" t="e">
        <f>#REF!</f>
        <v>#REF!</v>
      </c>
      <c r="DL18" t="e">
        <f>#REF!</f>
        <v>#REF!</v>
      </c>
      <c r="DM18" t="e">
        <f>#REF!</f>
        <v>#REF!</v>
      </c>
      <c r="DN18" t="e">
        <f>#REF!</f>
        <v>#REF!</v>
      </c>
      <c r="DO18" t="e">
        <f>#REF!</f>
        <v>#REF!</v>
      </c>
      <c r="DP18" t="e">
        <f>#REF!</f>
        <v>#REF!</v>
      </c>
      <c r="DQ18" t="e">
        <f>#REF!</f>
        <v>#REF!</v>
      </c>
      <c r="DR18" t="e">
        <f>#REF!</f>
        <v>#REF!</v>
      </c>
      <c r="DS18" t="e">
        <f>#REF!</f>
        <v>#REF!</v>
      </c>
      <c r="DT18" t="e">
        <f>#REF!</f>
        <v>#REF!</v>
      </c>
      <c r="DU18" t="e">
        <f>#REF!</f>
        <v>#REF!</v>
      </c>
      <c r="DV18" t="e">
        <f>#REF!</f>
        <v>#REF!</v>
      </c>
      <c r="DW18" t="e">
        <f>#REF!</f>
        <v>#REF!</v>
      </c>
      <c r="DX18" t="e">
        <f>#REF!</f>
        <v>#REF!</v>
      </c>
      <c r="DY18" t="e">
        <f>#REF!</f>
        <v>#REF!</v>
      </c>
      <c r="DZ18" t="e">
        <f>#REF!</f>
        <v>#REF!</v>
      </c>
      <c r="EA18" t="e">
        <f>#REF!</f>
        <v>#REF!</v>
      </c>
      <c r="EB18" t="e">
        <f>#REF!</f>
        <v>#REF!</v>
      </c>
      <c r="EC18" t="e">
        <f>#REF!</f>
        <v>#REF!</v>
      </c>
      <c r="ED18" t="e">
        <f>#REF!</f>
        <v>#REF!</v>
      </c>
      <c r="EE18" t="e">
        <f>#REF!</f>
        <v>#REF!</v>
      </c>
      <c r="EF18" t="e">
        <f>#REF!</f>
        <v>#REF!</v>
      </c>
      <c r="EG18" t="e">
        <f>#REF!</f>
        <v>#REF!</v>
      </c>
      <c r="EH18" t="e">
        <f>#REF!</f>
        <v>#REF!</v>
      </c>
      <c r="EI18" t="e">
        <f>#REF!</f>
        <v>#REF!</v>
      </c>
      <c r="EJ18" t="e">
        <f>#REF!</f>
        <v>#REF!</v>
      </c>
      <c r="EK18" t="e">
        <f>#REF!</f>
        <v>#REF!</v>
      </c>
      <c r="EL18" t="e">
        <f>#REF!</f>
        <v>#REF!</v>
      </c>
      <c r="EM18" t="e">
        <f>#REF!</f>
        <v>#REF!</v>
      </c>
      <c r="EN18" t="e">
        <f>#REF!</f>
        <v>#REF!</v>
      </c>
      <c r="EO18" t="e">
        <f>#REF!</f>
        <v>#REF!</v>
      </c>
      <c r="EP18" t="e">
        <f>#REF!</f>
        <v>#REF!</v>
      </c>
      <c r="EQ18" t="e">
        <f>#REF!</f>
        <v>#REF!</v>
      </c>
      <c r="ER18" t="e">
        <f>#REF!</f>
        <v>#REF!</v>
      </c>
      <c r="ES18" t="e">
        <f>#REF!</f>
        <v>#REF!</v>
      </c>
      <c r="ET18" t="e">
        <f>#REF!</f>
        <v>#REF!</v>
      </c>
      <c r="EU18" t="e">
        <f>#REF!</f>
        <v>#REF!</v>
      </c>
      <c r="EV18" t="e">
        <f>#REF!</f>
        <v>#REF!</v>
      </c>
      <c r="EW18" t="e">
        <f>#REF!</f>
        <v>#REF!</v>
      </c>
      <c r="EX18" t="e">
        <f>#REF!</f>
        <v>#REF!</v>
      </c>
      <c r="EY18" t="e">
        <f>#REF!</f>
        <v>#REF!</v>
      </c>
      <c r="EZ18" t="e">
        <f>#REF!</f>
        <v>#REF!</v>
      </c>
      <c r="FA18" t="e">
        <f>#REF!</f>
        <v>#REF!</v>
      </c>
      <c r="FB18" t="e">
        <f>#REF!</f>
        <v>#REF!</v>
      </c>
      <c r="FC18" t="e">
        <f>#REF!</f>
        <v>#REF!</v>
      </c>
      <c r="FD18" t="e">
        <f>#REF!</f>
        <v>#REF!</v>
      </c>
      <c r="FE18" t="e">
        <f>#REF!</f>
        <v>#REF!</v>
      </c>
      <c r="FF18" t="e">
        <f>#REF!</f>
        <v>#REF!</v>
      </c>
      <c r="FG18" t="e">
        <f>#REF!</f>
        <v>#REF!</v>
      </c>
      <c r="FH18" t="e">
        <f>#REF!</f>
        <v>#REF!</v>
      </c>
      <c r="FI18" t="e">
        <f>#REF!</f>
        <v>#REF!</v>
      </c>
      <c r="FJ18" t="e">
        <f>#REF!</f>
        <v>#REF!</v>
      </c>
      <c r="FK18" t="e">
        <f>#REF!</f>
        <v>#REF!</v>
      </c>
      <c r="FL18" t="e">
        <f>#REF!</f>
        <v>#REF!</v>
      </c>
      <c r="FM18" t="e">
        <f>#REF!</f>
        <v>#REF!</v>
      </c>
      <c r="FN18" t="e">
        <f>#REF!</f>
        <v>#REF!</v>
      </c>
    </row>
    <row r="19" spans="1:170" ht="15" x14ac:dyDescent="0.25">
      <c r="A19" s="619">
        <v>1</v>
      </c>
      <c r="B19" s="133" t="e">
        <f>RIGHT(#REF!,LEN(#REF!)-(FIND("Standards",#REF!,1)+9))</f>
        <v>#REF!</v>
      </c>
      <c r="C19" s="620" t="e">
        <f>#REF!</f>
        <v>#REF!</v>
      </c>
      <c r="D19" s="620">
        <v>72686</v>
      </c>
      <c r="E19" s="621" t="e">
        <f>#REF!</f>
        <v>#REF!</v>
      </c>
      <c r="F19" s="621" t="e">
        <f>#REF!</f>
        <v>#REF!</v>
      </c>
      <c r="G19" s="619" t="e">
        <f>#REF!</f>
        <v>#REF!</v>
      </c>
      <c r="H19" s="619" t="e">
        <f>#REF!</f>
        <v>#REF!</v>
      </c>
      <c r="I19" s="621" t="e">
        <f>#REF!</f>
        <v>#REF!</v>
      </c>
      <c r="J19" s="619" t="e">
        <f>#REF!</f>
        <v>#REF!</v>
      </c>
      <c r="K19" s="621" t="e">
        <f>#REF!</f>
        <v>#REF!</v>
      </c>
      <c r="L19" s="622" t="e">
        <f>#REF!</f>
        <v>#REF!</v>
      </c>
      <c r="M19" s="622" t="e">
        <f>#REF!</f>
        <v>#REF!</v>
      </c>
      <c r="N19" t="e">
        <f>#REF!</f>
        <v>#REF!</v>
      </c>
      <c r="O19" t="e">
        <f>#REF!</f>
        <v>#REF!</v>
      </c>
      <c r="P19" t="e">
        <f>#REF!</f>
        <v>#REF!</v>
      </c>
      <c r="Q19" s="136" t="e">
        <f>#REF!</f>
        <v>#REF!</v>
      </c>
      <c r="R19" s="136" t="e">
        <f>#REF!</f>
        <v>#REF!</v>
      </c>
      <c r="S19" s="136" t="e">
        <f>#REF!</f>
        <v>#REF!</v>
      </c>
      <c r="T19" s="136" t="e">
        <f>#REF!</f>
        <v>#REF!</v>
      </c>
      <c r="U19" s="136" t="e">
        <f>#REF!</f>
        <v>#REF!</v>
      </c>
      <c r="V19" s="136" t="e">
        <f>#REF!</f>
        <v>#REF!</v>
      </c>
      <c r="W19" s="136" t="e">
        <f>#REF!</f>
        <v>#REF!</v>
      </c>
      <c r="X19" s="136" t="e">
        <f>#REF!</f>
        <v>#REF!</v>
      </c>
      <c r="Y19" s="136" t="e">
        <f>#REF!</f>
        <v>#REF!</v>
      </c>
      <c r="Z19" s="136" t="e">
        <f>#REF!</f>
        <v>#REF!</v>
      </c>
      <c r="AA19" s="136" t="e">
        <f>#REF!</f>
        <v>#REF!</v>
      </c>
      <c r="AB19" s="136" t="e">
        <f>#REF!</f>
        <v>#REF!</v>
      </c>
      <c r="AC19" s="136" t="e">
        <f>#REF!</f>
        <v>#REF!</v>
      </c>
      <c r="AD19" s="136" t="e">
        <f>#REF!</f>
        <v>#REF!</v>
      </c>
      <c r="AE19" s="136" t="e">
        <f>#REF!</f>
        <v>#REF!</v>
      </c>
      <c r="AF19" s="136" t="e">
        <f>#REF!</f>
        <v>#REF!</v>
      </c>
      <c r="AG19" s="136" t="e">
        <f>#REF!</f>
        <v>#REF!</v>
      </c>
      <c r="AH19" s="136" t="e">
        <f>#REF!</f>
        <v>#REF!</v>
      </c>
      <c r="AI19" s="136" t="e">
        <f>#REF!</f>
        <v>#REF!</v>
      </c>
      <c r="AJ19" s="136" t="e">
        <f>#REF!</f>
        <v>#REF!</v>
      </c>
      <c r="AK19" s="136" t="e">
        <f>#REF!</f>
        <v>#REF!</v>
      </c>
      <c r="AL19" s="136"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s="137" t="e">
        <f>#REF!</f>
        <v>#REF!</v>
      </c>
      <c r="BO19" s="137" t="e">
        <f>#REF!</f>
        <v>#REF!</v>
      </c>
      <c r="BP19" s="137" t="e">
        <f>#REF!</f>
        <v>#REF!</v>
      </c>
      <c r="BQ19" s="137" t="e">
        <f>#REF!</f>
        <v>#REF!</v>
      </c>
      <c r="BR19" s="137" t="e">
        <f>#REF!</f>
        <v>#REF!</v>
      </c>
      <c r="BS19" s="137" t="e">
        <f>#REF!</f>
        <v>#REF!</v>
      </c>
      <c r="BT19" s="137" t="e">
        <f>#REF!</f>
        <v>#REF!</v>
      </c>
      <c r="BU19" s="137" t="e">
        <f>#REF!</f>
        <v>#REF!</v>
      </c>
      <c r="BV19" s="137" t="e">
        <f>#REF!</f>
        <v>#REF!</v>
      </c>
      <c r="BW19" s="137" t="e">
        <f>#REF!</f>
        <v>#REF!</v>
      </c>
      <c r="BX19" s="137" t="e">
        <f>#REF!</f>
        <v>#REF!</v>
      </c>
      <c r="BY19" s="137" t="e">
        <f>#REF!</f>
        <v>#REF!</v>
      </c>
      <c r="BZ19" s="137" t="e">
        <f>#REF!</f>
        <v>#REF!</v>
      </c>
      <c r="CA19" s="137" t="e">
        <f>#REF!</f>
        <v>#REF!</v>
      </c>
      <c r="CB19" t="e">
        <f>#REF!</f>
        <v>#REF!</v>
      </c>
      <c r="CC19" t="e">
        <f>#REF!</f>
        <v>#REF!</v>
      </c>
      <c r="CD19" t="e">
        <f>#REF!</f>
        <v>#REF!</v>
      </c>
      <c r="CE19" t="e">
        <f>#REF!</f>
        <v>#REF!</v>
      </c>
      <c r="CF19" t="e">
        <f>#REF!</f>
        <v>#REF!</v>
      </c>
      <c r="CG19" t="e">
        <f>#REF!</f>
        <v>#REF!</v>
      </c>
      <c r="CH19" t="e">
        <f>#REF!</f>
        <v>#REF!</v>
      </c>
      <c r="CI19" t="e">
        <f>#REF!</f>
        <v>#REF!</v>
      </c>
      <c r="CJ19" s="136" t="e">
        <f>#REF!</f>
        <v>#REF!</v>
      </c>
      <c r="CK19" s="136" t="e">
        <f>#REF!</f>
        <v>#REF!</v>
      </c>
      <c r="CL19" s="136" t="e">
        <f>#REF!</f>
        <v>#REF!</v>
      </c>
      <c r="CM19" s="136" t="e">
        <f>#REF!</f>
        <v>#REF!</v>
      </c>
      <c r="CN19" s="136" t="e">
        <f>#REF!</f>
        <v>#REF!</v>
      </c>
      <c r="CO19" s="136" t="e">
        <f>#REF!</f>
        <v>#REF!</v>
      </c>
      <c r="CP19" t="e">
        <f>#REF!</f>
        <v>#REF!</v>
      </c>
      <c r="CQ19" t="e">
        <f>#REF!</f>
        <v>#REF!</v>
      </c>
      <c r="CR19" t="e">
        <f>#REF!</f>
        <v>#REF!</v>
      </c>
      <c r="CS19" t="e">
        <f>#REF!</f>
        <v>#REF!</v>
      </c>
      <c r="CT19" t="e">
        <f>#REF!</f>
        <v>#REF!</v>
      </c>
      <c r="CU19" t="e">
        <f>#REF!</f>
        <v>#REF!</v>
      </c>
      <c r="CV19" t="e">
        <f>#REF!</f>
        <v>#REF!</v>
      </c>
      <c r="CW19" t="e">
        <f>#REF!</f>
        <v>#REF!</v>
      </c>
      <c r="CX19" t="e">
        <f>#REF!</f>
        <v>#REF!</v>
      </c>
      <c r="CY19" t="e">
        <f>#REF!</f>
        <v>#REF!</v>
      </c>
      <c r="CZ19" t="e">
        <f>#REF!</f>
        <v>#REF!</v>
      </c>
      <c r="DA19" t="e">
        <f>#REF!</f>
        <v>#REF!</v>
      </c>
      <c r="DB19" t="e">
        <f>#REF!</f>
        <v>#REF!</v>
      </c>
      <c r="DC19" t="e">
        <f>#REF!</f>
        <v>#REF!</v>
      </c>
      <c r="DD19" t="e">
        <f>#REF!</f>
        <v>#REF!</v>
      </c>
      <c r="DE19" t="e">
        <f>#REF!</f>
        <v>#REF!</v>
      </c>
      <c r="DF19" t="e">
        <f>#REF!</f>
        <v>#REF!</v>
      </c>
      <c r="DG19" t="e">
        <f>#REF!</f>
        <v>#REF!</v>
      </c>
      <c r="DH19" t="e">
        <f>#REF!</f>
        <v>#REF!</v>
      </c>
      <c r="DI19" t="e">
        <f>#REF!</f>
        <v>#REF!</v>
      </c>
      <c r="DJ19" t="e">
        <f>#REF!</f>
        <v>#REF!</v>
      </c>
      <c r="DK19" t="e">
        <f>#REF!</f>
        <v>#REF!</v>
      </c>
      <c r="DL19" t="e">
        <f>#REF!</f>
        <v>#REF!</v>
      </c>
      <c r="DM19" t="e">
        <f>#REF!</f>
        <v>#REF!</v>
      </c>
      <c r="DN19" t="e">
        <f>#REF!</f>
        <v>#REF!</v>
      </c>
      <c r="DO19" t="e">
        <f>#REF!</f>
        <v>#REF!</v>
      </c>
      <c r="DP19" t="e">
        <f>#REF!</f>
        <v>#REF!</v>
      </c>
      <c r="DQ19" t="e">
        <f>#REF!</f>
        <v>#REF!</v>
      </c>
      <c r="DR19" t="e">
        <f>#REF!</f>
        <v>#REF!</v>
      </c>
      <c r="DS19" t="e">
        <f>#REF!</f>
        <v>#REF!</v>
      </c>
      <c r="DT19" t="e">
        <f>#REF!</f>
        <v>#REF!</v>
      </c>
      <c r="DU19" t="e">
        <f>#REF!</f>
        <v>#REF!</v>
      </c>
      <c r="DV19" t="e">
        <f>#REF!</f>
        <v>#REF!</v>
      </c>
      <c r="DW19" t="e">
        <f>#REF!</f>
        <v>#REF!</v>
      </c>
      <c r="DX19" t="e">
        <f>#REF!</f>
        <v>#REF!</v>
      </c>
      <c r="DY19" t="e">
        <f>#REF!</f>
        <v>#REF!</v>
      </c>
      <c r="DZ19" t="e">
        <f>#REF!</f>
        <v>#REF!</v>
      </c>
      <c r="EA19" t="e">
        <f>#REF!</f>
        <v>#REF!</v>
      </c>
      <c r="EB19" t="e">
        <f>#REF!</f>
        <v>#REF!</v>
      </c>
      <c r="EC19" t="e">
        <f>#REF!</f>
        <v>#REF!</v>
      </c>
      <c r="ED19" t="e">
        <f>#REF!</f>
        <v>#REF!</v>
      </c>
      <c r="EE19" t="e">
        <f>#REF!</f>
        <v>#REF!</v>
      </c>
      <c r="EF19" t="e">
        <f>#REF!</f>
        <v>#REF!</v>
      </c>
      <c r="EG19" t="e">
        <f>#REF!</f>
        <v>#REF!</v>
      </c>
      <c r="EH19" t="e">
        <f>#REF!</f>
        <v>#REF!</v>
      </c>
      <c r="EI19" t="e">
        <f>#REF!</f>
        <v>#REF!</v>
      </c>
      <c r="EJ19" t="e">
        <f>#REF!</f>
        <v>#REF!</v>
      </c>
      <c r="EK19" t="e">
        <f>#REF!</f>
        <v>#REF!</v>
      </c>
      <c r="EL19" t="e">
        <f>#REF!</f>
        <v>#REF!</v>
      </c>
      <c r="EM19" t="e">
        <f>#REF!</f>
        <v>#REF!</v>
      </c>
      <c r="EN19" t="e">
        <f>#REF!</f>
        <v>#REF!</v>
      </c>
      <c r="EO19" t="e">
        <f>#REF!</f>
        <v>#REF!</v>
      </c>
      <c r="EP19" t="e">
        <f>#REF!</f>
        <v>#REF!</v>
      </c>
      <c r="EQ19" t="e">
        <f>#REF!</f>
        <v>#REF!</v>
      </c>
      <c r="ER19" t="e">
        <f>#REF!</f>
        <v>#REF!</v>
      </c>
      <c r="ES19" t="e">
        <f>#REF!</f>
        <v>#REF!</v>
      </c>
      <c r="ET19" t="e">
        <f>#REF!</f>
        <v>#REF!</v>
      </c>
      <c r="EU19" t="e">
        <f>#REF!</f>
        <v>#REF!</v>
      </c>
      <c r="EV19" t="e">
        <f>#REF!</f>
        <v>#REF!</v>
      </c>
      <c r="EW19" t="e">
        <f>#REF!</f>
        <v>#REF!</v>
      </c>
      <c r="EX19" t="e">
        <f>#REF!</f>
        <v>#REF!</v>
      </c>
      <c r="EY19" t="e">
        <f>#REF!</f>
        <v>#REF!</v>
      </c>
      <c r="EZ19" t="e">
        <f>#REF!</f>
        <v>#REF!</v>
      </c>
      <c r="FA19" t="e">
        <f>#REF!</f>
        <v>#REF!</v>
      </c>
      <c r="FB19" t="e">
        <f>#REF!</f>
        <v>#REF!</v>
      </c>
      <c r="FC19" t="e">
        <f>#REF!</f>
        <v>#REF!</v>
      </c>
      <c r="FD19" t="e">
        <f>#REF!</f>
        <v>#REF!</v>
      </c>
      <c r="FE19" t="e">
        <f>#REF!</f>
        <v>#REF!</v>
      </c>
      <c r="FF19" t="e">
        <f>#REF!</f>
        <v>#REF!</v>
      </c>
      <c r="FG19" t="e">
        <f>#REF!</f>
        <v>#REF!</v>
      </c>
      <c r="FH19" t="e">
        <f>#REF!</f>
        <v>#REF!</v>
      </c>
      <c r="FI19" t="e">
        <f>#REF!</f>
        <v>#REF!</v>
      </c>
      <c r="FJ19" t="e">
        <f>#REF!</f>
        <v>#REF!</v>
      </c>
      <c r="FK19" t="e">
        <f>#REF!</f>
        <v>#REF!</v>
      </c>
      <c r="FL19" t="e">
        <f>#REF!</f>
        <v>#REF!</v>
      </c>
      <c r="FM19" t="e">
        <f>#REF!</f>
        <v>#REF!</v>
      </c>
      <c r="FN19" t="e">
        <f>#REF!</f>
        <v>#REF!</v>
      </c>
    </row>
    <row r="20" spans="1:170" ht="15" x14ac:dyDescent="0.25">
      <c r="A20" s="619">
        <v>1</v>
      </c>
      <c r="B20" s="133" t="e">
        <f>RIGHT(#REF!,LEN(#REF!)-(FIND("Standards",#REF!,1)+9))</f>
        <v>#REF!</v>
      </c>
      <c r="C20" s="620" t="e">
        <f>#REF!</f>
        <v>#REF!</v>
      </c>
      <c r="D20" s="620">
        <v>72686</v>
      </c>
      <c r="E20" s="621" t="e">
        <f>#REF!</f>
        <v>#REF!</v>
      </c>
      <c r="F20" s="621" t="e">
        <f>#REF!</f>
        <v>#REF!</v>
      </c>
      <c r="G20" s="619" t="e">
        <f>#REF!</f>
        <v>#REF!</v>
      </c>
      <c r="H20" s="619" t="e">
        <f>#REF!</f>
        <v>#REF!</v>
      </c>
      <c r="I20" s="621" t="e">
        <f>#REF!</f>
        <v>#REF!</v>
      </c>
      <c r="J20" s="619" t="e">
        <f>#REF!</f>
        <v>#REF!</v>
      </c>
      <c r="K20" s="621" t="e">
        <f>#REF!</f>
        <v>#REF!</v>
      </c>
      <c r="L20" s="622" t="e">
        <f>#REF!</f>
        <v>#REF!</v>
      </c>
      <c r="M20" s="622" t="e">
        <f>#REF!</f>
        <v>#REF!</v>
      </c>
      <c r="N20" t="e">
        <f>#REF!</f>
        <v>#REF!</v>
      </c>
      <c r="O20" t="e">
        <f>#REF!</f>
        <v>#REF!</v>
      </c>
      <c r="P20" t="e">
        <f>#REF!</f>
        <v>#REF!</v>
      </c>
      <c r="Q20" s="136" t="e">
        <f>#REF!</f>
        <v>#REF!</v>
      </c>
      <c r="R20" s="136" t="e">
        <f>#REF!</f>
        <v>#REF!</v>
      </c>
      <c r="S20" s="136" t="e">
        <f>#REF!</f>
        <v>#REF!</v>
      </c>
      <c r="T20" s="136" t="e">
        <f>#REF!</f>
        <v>#REF!</v>
      </c>
      <c r="U20" s="136" t="e">
        <f>#REF!</f>
        <v>#REF!</v>
      </c>
      <c r="V20" s="136" t="e">
        <f>#REF!</f>
        <v>#REF!</v>
      </c>
      <c r="W20" s="136" t="e">
        <f>#REF!</f>
        <v>#REF!</v>
      </c>
      <c r="X20" s="136" t="e">
        <f>#REF!</f>
        <v>#REF!</v>
      </c>
      <c r="Y20" s="136" t="e">
        <f>#REF!</f>
        <v>#REF!</v>
      </c>
      <c r="Z20" s="136" t="e">
        <f>#REF!</f>
        <v>#REF!</v>
      </c>
      <c r="AA20" s="136" t="e">
        <f>#REF!</f>
        <v>#REF!</v>
      </c>
      <c r="AB20" s="136" t="e">
        <f>#REF!</f>
        <v>#REF!</v>
      </c>
      <c r="AC20" s="136" t="e">
        <f>#REF!</f>
        <v>#REF!</v>
      </c>
      <c r="AD20" s="136" t="e">
        <f>#REF!</f>
        <v>#REF!</v>
      </c>
      <c r="AE20" s="136" t="e">
        <f>#REF!</f>
        <v>#REF!</v>
      </c>
      <c r="AF20" s="136" t="e">
        <f>#REF!</f>
        <v>#REF!</v>
      </c>
      <c r="AG20" s="136" t="e">
        <f>#REF!</f>
        <v>#REF!</v>
      </c>
      <c r="AH20" s="136" t="e">
        <f>#REF!</f>
        <v>#REF!</v>
      </c>
      <c r="AI20" s="136" t="e">
        <f>#REF!</f>
        <v>#REF!</v>
      </c>
      <c r="AJ20" s="136" t="e">
        <f>#REF!</f>
        <v>#REF!</v>
      </c>
      <c r="AK20" s="136" t="e">
        <f>#REF!</f>
        <v>#REF!</v>
      </c>
      <c r="AL20" s="136"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s="137" t="e">
        <f>#REF!</f>
        <v>#REF!</v>
      </c>
      <c r="BO20" s="137" t="e">
        <f>#REF!</f>
        <v>#REF!</v>
      </c>
      <c r="BP20" s="137" t="e">
        <f>#REF!</f>
        <v>#REF!</v>
      </c>
      <c r="BQ20" s="137" t="e">
        <f>#REF!</f>
        <v>#REF!</v>
      </c>
      <c r="BR20" s="137" t="e">
        <f>#REF!</f>
        <v>#REF!</v>
      </c>
      <c r="BS20" s="137" t="e">
        <f>#REF!</f>
        <v>#REF!</v>
      </c>
      <c r="BT20" s="137" t="e">
        <f>#REF!</f>
        <v>#REF!</v>
      </c>
      <c r="BU20" s="137" t="e">
        <f>#REF!</f>
        <v>#REF!</v>
      </c>
      <c r="BV20" s="137" t="e">
        <f>#REF!</f>
        <v>#REF!</v>
      </c>
      <c r="BW20" s="137" t="e">
        <f>#REF!</f>
        <v>#REF!</v>
      </c>
      <c r="BX20" s="137" t="e">
        <f>#REF!</f>
        <v>#REF!</v>
      </c>
      <c r="BY20" s="137" t="e">
        <f>#REF!</f>
        <v>#REF!</v>
      </c>
      <c r="BZ20" s="137" t="e">
        <f>#REF!</f>
        <v>#REF!</v>
      </c>
      <c r="CA20" s="137" t="e">
        <f>#REF!</f>
        <v>#REF!</v>
      </c>
      <c r="CB20" t="e">
        <f>#REF!</f>
        <v>#REF!</v>
      </c>
      <c r="CC20" t="e">
        <f>#REF!</f>
        <v>#REF!</v>
      </c>
      <c r="CD20" t="e">
        <f>#REF!</f>
        <v>#REF!</v>
      </c>
      <c r="CE20" t="e">
        <f>#REF!</f>
        <v>#REF!</v>
      </c>
      <c r="CF20" t="e">
        <f>#REF!</f>
        <v>#REF!</v>
      </c>
      <c r="CG20" t="e">
        <f>#REF!</f>
        <v>#REF!</v>
      </c>
      <c r="CH20" t="e">
        <f>#REF!</f>
        <v>#REF!</v>
      </c>
      <c r="CI20" t="e">
        <f>#REF!</f>
        <v>#REF!</v>
      </c>
      <c r="CJ20" s="136" t="e">
        <f>#REF!</f>
        <v>#REF!</v>
      </c>
      <c r="CK20" s="136" t="e">
        <f>#REF!</f>
        <v>#REF!</v>
      </c>
      <c r="CL20" s="136" t="e">
        <f>#REF!</f>
        <v>#REF!</v>
      </c>
      <c r="CM20" s="136" t="e">
        <f>#REF!</f>
        <v>#REF!</v>
      </c>
      <c r="CN20" s="136" t="e">
        <f>#REF!</f>
        <v>#REF!</v>
      </c>
      <c r="CO20" s="136" t="e">
        <f>#REF!</f>
        <v>#REF!</v>
      </c>
      <c r="CP20" t="e">
        <f>#REF!</f>
        <v>#REF!</v>
      </c>
      <c r="CQ20" t="e">
        <f>#REF!</f>
        <v>#REF!</v>
      </c>
      <c r="CR20" t="e">
        <f>#REF!</f>
        <v>#REF!</v>
      </c>
      <c r="CS20" t="e">
        <f>#REF!</f>
        <v>#REF!</v>
      </c>
      <c r="CT20" t="e">
        <f>#REF!</f>
        <v>#REF!</v>
      </c>
      <c r="CU20" t="e">
        <f>#REF!</f>
        <v>#REF!</v>
      </c>
      <c r="CV20" t="e">
        <f>#REF!</f>
        <v>#REF!</v>
      </c>
      <c r="CW20" t="e">
        <f>#REF!</f>
        <v>#REF!</v>
      </c>
      <c r="CX20" t="e">
        <f>#REF!</f>
        <v>#REF!</v>
      </c>
      <c r="CY20" t="e">
        <f>#REF!</f>
        <v>#REF!</v>
      </c>
      <c r="CZ20" t="e">
        <f>#REF!</f>
        <v>#REF!</v>
      </c>
      <c r="DA20" t="e">
        <f>#REF!</f>
        <v>#REF!</v>
      </c>
      <c r="DB20" t="e">
        <f>#REF!</f>
        <v>#REF!</v>
      </c>
      <c r="DC20" t="e">
        <f>#REF!</f>
        <v>#REF!</v>
      </c>
      <c r="DD20" t="e">
        <f>#REF!</f>
        <v>#REF!</v>
      </c>
      <c r="DE20" t="e">
        <f>#REF!</f>
        <v>#REF!</v>
      </c>
      <c r="DF20" t="e">
        <f>#REF!</f>
        <v>#REF!</v>
      </c>
      <c r="DG20" t="e">
        <f>#REF!</f>
        <v>#REF!</v>
      </c>
      <c r="DH20" t="e">
        <f>#REF!</f>
        <v>#REF!</v>
      </c>
      <c r="DI20" t="e">
        <f>#REF!</f>
        <v>#REF!</v>
      </c>
      <c r="DJ20" t="e">
        <f>#REF!</f>
        <v>#REF!</v>
      </c>
      <c r="DK20" t="e">
        <f>#REF!</f>
        <v>#REF!</v>
      </c>
      <c r="DL20" t="e">
        <f>#REF!</f>
        <v>#REF!</v>
      </c>
      <c r="DM20" t="e">
        <f>#REF!</f>
        <v>#REF!</v>
      </c>
      <c r="DN20" t="e">
        <f>#REF!</f>
        <v>#REF!</v>
      </c>
      <c r="DO20" t="e">
        <f>#REF!</f>
        <v>#REF!</v>
      </c>
      <c r="DP20" t="e">
        <f>#REF!</f>
        <v>#REF!</v>
      </c>
      <c r="DQ20" t="e">
        <f>#REF!</f>
        <v>#REF!</v>
      </c>
      <c r="DR20" t="e">
        <f>#REF!</f>
        <v>#REF!</v>
      </c>
      <c r="DS20" t="e">
        <f>#REF!</f>
        <v>#REF!</v>
      </c>
      <c r="DT20" t="e">
        <f>#REF!</f>
        <v>#REF!</v>
      </c>
      <c r="DU20" t="e">
        <f>#REF!</f>
        <v>#REF!</v>
      </c>
      <c r="DV20" t="e">
        <f>#REF!</f>
        <v>#REF!</v>
      </c>
      <c r="DW20" t="e">
        <f>#REF!</f>
        <v>#REF!</v>
      </c>
      <c r="DX20" t="e">
        <f>#REF!</f>
        <v>#REF!</v>
      </c>
      <c r="DY20" t="e">
        <f>#REF!</f>
        <v>#REF!</v>
      </c>
      <c r="DZ20" t="e">
        <f>#REF!</f>
        <v>#REF!</v>
      </c>
      <c r="EA20" t="e">
        <f>#REF!</f>
        <v>#REF!</v>
      </c>
      <c r="EB20" t="e">
        <f>#REF!</f>
        <v>#REF!</v>
      </c>
      <c r="EC20" t="e">
        <f>#REF!</f>
        <v>#REF!</v>
      </c>
      <c r="ED20" t="e">
        <f>#REF!</f>
        <v>#REF!</v>
      </c>
      <c r="EE20" t="e">
        <f>#REF!</f>
        <v>#REF!</v>
      </c>
      <c r="EF20" t="e">
        <f>#REF!</f>
        <v>#REF!</v>
      </c>
      <c r="EG20" t="e">
        <f>#REF!</f>
        <v>#REF!</v>
      </c>
      <c r="EH20" t="e">
        <f>#REF!</f>
        <v>#REF!</v>
      </c>
      <c r="EI20" t="e">
        <f>#REF!</f>
        <v>#REF!</v>
      </c>
      <c r="EJ20" t="e">
        <f>#REF!</f>
        <v>#REF!</v>
      </c>
      <c r="EK20" t="e">
        <f>#REF!</f>
        <v>#REF!</v>
      </c>
      <c r="EL20" t="e">
        <f>#REF!</f>
        <v>#REF!</v>
      </c>
      <c r="EM20" t="e">
        <f>#REF!</f>
        <v>#REF!</v>
      </c>
      <c r="EN20" t="e">
        <f>#REF!</f>
        <v>#REF!</v>
      </c>
      <c r="EO20" t="e">
        <f>#REF!</f>
        <v>#REF!</v>
      </c>
      <c r="EP20" t="e">
        <f>#REF!</f>
        <v>#REF!</v>
      </c>
      <c r="EQ20" t="e">
        <f>#REF!</f>
        <v>#REF!</v>
      </c>
      <c r="ER20" t="e">
        <f>#REF!</f>
        <v>#REF!</v>
      </c>
      <c r="ES20" t="e">
        <f>#REF!</f>
        <v>#REF!</v>
      </c>
      <c r="ET20" t="e">
        <f>#REF!</f>
        <v>#REF!</v>
      </c>
      <c r="EU20" t="e">
        <f>#REF!</f>
        <v>#REF!</v>
      </c>
      <c r="EV20" t="e">
        <f>#REF!</f>
        <v>#REF!</v>
      </c>
      <c r="EW20" t="e">
        <f>#REF!</f>
        <v>#REF!</v>
      </c>
      <c r="EX20" t="e">
        <f>#REF!</f>
        <v>#REF!</v>
      </c>
      <c r="EY20" t="e">
        <f>#REF!</f>
        <v>#REF!</v>
      </c>
      <c r="EZ20" t="e">
        <f>#REF!</f>
        <v>#REF!</v>
      </c>
      <c r="FA20" t="e">
        <f>#REF!</f>
        <v>#REF!</v>
      </c>
      <c r="FB20" t="e">
        <f>#REF!</f>
        <v>#REF!</v>
      </c>
      <c r="FC20" t="e">
        <f>#REF!</f>
        <v>#REF!</v>
      </c>
      <c r="FD20" t="e">
        <f>#REF!</f>
        <v>#REF!</v>
      </c>
      <c r="FE20" t="e">
        <f>#REF!</f>
        <v>#REF!</v>
      </c>
      <c r="FF20" t="e">
        <f>#REF!</f>
        <v>#REF!</v>
      </c>
      <c r="FG20" t="e">
        <f>#REF!</f>
        <v>#REF!</v>
      </c>
      <c r="FH20" t="e">
        <f>#REF!</f>
        <v>#REF!</v>
      </c>
      <c r="FI20" t="e">
        <f>#REF!</f>
        <v>#REF!</v>
      </c>
      <c r="FJ20" t="e">
        <f>#REF!</f>
        <v>#REF!</v>
      </c>
      <c r="FK20" t="e">
        <f>#REF!</f>
        <v>#REF!</v>
      </c>
      <c r="FL20" t="e">
        <f>#REF!</f>
        <v>#REF!</v>
      </c>
      <c r="FM20" t="e">
        <f>#REF!</f>
        <v>#REF!</v>
      </c>
      <c r="FN20" t="e">
        <f>#REF!</f>
        <v>#REF!</v>
      </c>
    </row>
    <row r="21" spans="1:170" ht="15" x14ac:dyDescent="0.25">
      <c r="A21" s="619">
        <v>1</v>
      </c>
      <c r="B21" s="133" t="e">
        <f>RIGHT(#REF!,LEN(#REF!)-(FIND("Standards",#REF!,1)+9))</f>
        <v>#REF!</v>
      </c>
      <c r="C21" s="620" t="e">
        <f>#REF!</f>
        <v>#REF!</v>
      </c>
      <c r="D21" s="620">
        <v>72686</v>
      </c>
      <c r="E21" s="621" t="e">
        <f>#REF!</f>
        <v>#REF!</v>
      </c>
      <c r="F21" s="621" t="e">
        <f>#REF!</f>
        <v>#REF!</v>
      </c>
      <c r="G21" s="619" t="e">
        <f>#REF!</f>
        <v>#REF!</v>
      </c>
      <c r="H21" s="619" t="e">
        <f>#REF!</f>
        <v>#REF!</v>
      </c>
      <c r="I21" s="621" t="e">
        <f>#REF!</f>
        <v>#REF!</v>
      </c>
      <c r="J21" s="619" t="e">
        <f>#REF!</f>
        <v>#REF!</v>
      </c>
      <c r="K21" s="621" t="e">
        <f>#REF!</f>
        <v>#REF!</v>
      </c>
      <c r="L21" s="622" t="e">
        <f>#REF!</f>
        <v>#REF!</v>
      </c>
      <c r="M21" s="622" t="e">
        <f>#REF!</f>
        <v>#REF!</v>
      </c>
      <c r="N21" t="e">
        <f>#REF!</f>
        <v>#REF!</v>
      </c>
      <c r="O21" t="e">
        <f>#REF!</f>
        <v>#REF!</v>
      </c>
      <c r="P21" t="e">
        <f>#REF!</f>
        <v>#REF!</v>
      </c>
      <c r="Q21" s="136" t="e">
        <f>#REF!</f>
        <v>#REF!</v>
      </c>
      <c r="R21" s="136" t="e">
        <f>#REF!</f>
        <v>#REF!</v>
      </c>
      <c r="S21" s="136" t="e">
        <f>#REF!</f>
        <v>#REF!</v>
      </c>
      <c r="T21" s="136" t="e">
        <f>#REF!</f>
        <v>#REF!</v>
      </c>
      <c r="U21" s="136" t="e">
        <f>#REF!</f>
        <v>#REF!</v>
      </c>
      <c r="V21" s="136" t="e">
        <f>#REF!</f>
        <v>#REF!</v>
      </c>
      <c r="W21" s="136" t="e">
        <f>#REF!</f>
        <v>#REF!</v>
      </c>
      <c r="X21" s="136" t="e">
        <f>#REF!</f>
        <v>#REF!</v>
      </c>
      <c r="Y21" s="136" t="e">
        <f>#REF!</f>
        <v>#REF!</v>
      </c>
      <c r="Z21" s="136" t="e">
        <f>#REF!</f>
        <v>#REF!</v>
      </c>
      <c r="AA21" s="136" t="e">
        <f>#REF!</f>
        <v>#REF!</v>
      </c>
      <c r="AB21" s="136" t="e">
        <f>#REF!</f>
        <v>#REF!</v>
      </c>
      <c r="AC21" s="136" t="e">
        <f>#REF!</f>
        <v>#REF!</v>
      </c>
      <c r="AD21" s="136" t="e">
        <f>#REF!</f>
        <v>#REF!</v>
      </c>
      <c r="AE21" s="136" t="e">
        <f>#REF!</f>
        <v>#REF!</v>
      </c>
      <c r="AF21" s="136" t="e">
        <f>#REF!</f>
        <v>#REF!</v>
      </c>
      <c r="AG21" s="136" t="e">
        <f>#REF!</f>
        <v>#REF!</v>
      </c>
      <c r="AH21" s="136" t="e">
        <f>#REF!</f>
        <v>#REF!</v>
      </c>
      <c r="AI21" s="136" t="e">
        <f>#REF!</f>
        <v>#REF!</v>
      </c>
      <c r="AJ21" s="136" t="e">
        <f>#REF!</f>
        <v>#REF!</v>
      </c>
      <c r="AK21" s="136" t="e">
        <f>#REF!</f>
        <v>#REF!</v>
      </c>
      <c r="AL21" s="136"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s="137" t="e">
        <f>#REF!</f>
        <v>#REF!</v>
      </c>
      <c r="BO21" s="137" t="e">
        <f>#REF!</f>
        <v>#REF!</v>
      </c>
      <c r="BP21" s="137" t="e">
        <f>#REF!</f>
        <v>#REF!</v>
      </c>
      <c r="BQ21" s="137" t="e">
        <f>#REF!</f>
        <v>#REF!</v>
      </c>
      <c r="BR21" s="137" t="e">
        <f>#REF!</f>
        <v>#REF!</v>
      </c>
      <c r="BS21" s="137" t="e">
        <f>#REF!</f>
        <v>#REF!</v>
      </c>
      <c r="BT21" s="137" t="e">
        <f>#REF!</f>
        <v>#REF!</v>
      </c>
      <c r="BU21" s="137" t="e">
        <f>#REF!</f>
        <v>#REF!</v>
      </c>
      <c r="BV21" s="137" t="e">
        <f>#REF!</f>
        <v>#REF!</v>
      </c>
      <c r="BW21" s="137" t="e">
        <f>#REF!</f>
        <v>#REF!</v>
      </c>
      <c r="BX21" s="137" t="e">
        <f>#REF!</f>
        <v>#REF!</v>
      </c>
      <c r="BY21" s="137" t="e">
        <f>#REF!</f>
        <v>#REF!</v>
      </c>
      <c r="BZ21" s="137" t="e">
        <f>#REF!</f>
        <v>#REF!</v>
      </c>
      <c r="CA21" s="137" t="e">
        <f>#REF!</f>
        <v>#REF!</v>
      </c>
      <c r="CB21" t="e">
        <f>#REF!</f>
        <v>#REF!</v>
      </c>
      <c r="CC21" t="e">
        <f>#REF!</f>
        <v>#REF!</v>
      </c>
      <c r="CD21" t="e">
        <f>#REF!</f>
        <v>#REF!</v>
      </c>
      <c r="CE21" t="e">
        <f>#REF!</f>
        <v>#REF!</v>
      </c>
      <c r="CF21" t="e">
        <f>#REF!</f>
        <v>#REF!</v>
      </c>
      <c r="CG21" t="e">
        <f>#REF!</f>
        <v>#REF!</v>
      </c>
      <c r="CH21" t="e">
        <f>#REF!</f>
        <v>#REF!</v>
      </c>
      <c r="CI21" t="e">
        <f>#REF!</f>
        <v>#REF!</v>
      </c>
      <c r="CJ21" s="136" t="e">
        <f>#REF!</f>
        <v>#REF!</v>
      </c>
      <c r="CK21" s="136" t="e">
        <f>#REF!</f>
        <v>#REF!</v>
      </c>
      <c r="CL21" s="136" t="e">
        <f>#REF!</f>
        <v>#REF!</v>
      </c>
      <c r="CM21" s="136" t="e">
        <f>#REF!</f>
        <v>#REF!</v>
      </c>
      <c r="CN21" s="136" t="e">
        <f>#REF!</f>
        <v>#REF!</v>
      </c>
      <c r="CO21" s="136" t="e">
        <f>#REF!</f>
        <v>#REF!</v>
      </c>
      <c r="CP21" t="e">
        <f>#REF!</f>
        <v>#REF!</v>
      </c>
      <c r="CQ21" t="e">
        <f>#REF!</f>
        <v>#REF!</v>
      </c>
      <c r="CR21" t="e">
        <f>#REF!</f>
        <v>#REF!</v>
      </c>
      <c r="CS21" t="e">
        <f>#REF!</f>
        <v>#REF!</v>
      </c>
      <c r="CT21" t="e">
        <f>#REF!</f>
        <v>#REF!</v>
      </c>
      <c r="CU21" t="e">
        <f>#REF!</f>
        <v>#REF!</v>
      </c>
      <c r="CV21" t="e">
        <f>#REF!</f>
        <v>#REF!</v>
      </c>
      <c r="CW21" t="e">
        <f>#REF!</f>
        <v>#REF!</v>
      </c>
      <c r="CX21" t="e">
        <f>#REF!</f>
        <v>#REF!</v>
      </c>
      <c r="CY21" t="e">
        <f>#REF!</f>
        <v>#REF!</v>
      </c>
      <c r="CZ21" t="e">
        <f>#REF!</f>
        <v>#REF!</v>
      </c>
      <c r="DA21" t="e">
        <f>#REF!</f>
        <v>#REF!</v>
      </c>
      <c r="DB21" t="e">
        <f>#REF!</f>
        <v>#REF!</v>
      </c>
      <c r="DC21" t="e">
        <f>#REF!</f>
        <v>#REF!</v>
      </c>
      <c r="DD21" t="e">
        <f>#REF!</f>
        <v>#REF!</v>
      </c>
      <c r="DE21" t="e">
        <f>#REF!</f>
        <v>#REF!</v>
      </c>
      <c r="DF21" t="e">
        <f>#REF!</f>
        <v>#REF!</v>
      </c>
      <c r="DG21" t="e">
        <f>#REF!</f>
        <v>#REF!</v>
      </c>
      <c r="DH21" t="e">
        <f>#REF!</f>
        <v>#REF!</v>
      </c>
      <c r="DI21" t="e">
        <f>#REF!</f>
        <v>#REF!</v>
      </c>
      <c r="DJ21" t="e">
        <f>#REF!</f>
        <v>#REF!</v>
      </c>
      <c r="DK21" t="e">
        <f>#REF!</f>
        <v>#REF!</v>
      </c>
      <c r="DL21" t="e">
        <f>#REF!</f>
        <v>#REF!</v>
      </c>
      <c r="DM21" t="e">
        <f>#REF!</f>
        <v>#REF!</v>
      </c>
      <c r="DN21" t="e">
        <f>#REF!</f>
        <v>#REF!</v>
      </c>
      <c r="DO21" t="e">
        <f>#REF!</f>
        <v>#REF!</v>
      </c>
      <c r="DP21" t="e">
        <f>#REF!</f>
        <v>#REF!</v>
      </c>
      <c r="DQ21" t="e">
        <f>#REF!</f>
        <v>#REF!</v>
      </c>
      <c r="DR21" t="e">
        <f>#REF!</f>
        <v>#REF!</v>
      </c>
      <c r="DS21" t="e">
        <f>#REF!</f>
        <v>#REF!</v>
      </c>
      <c r="DT21" t="e">
        <f>#REF!</f>
        <v>#REF!</v>
      </c>
      <c r="DU21" t="e">
        <f>#REF!</f>
        <v>#REF!</v>
      </c>
      <c r="DV21" t="e">
        <f>#REF!</f>
        <v>#REF!</v>
      </c>
      <c r="DW21" t="e">
        <f>#REF!</f>
        <v>#REF!</v>
      </c>
      <c r="DX21" t="e">
        <f>#REF!</f>
        <v>#REF!</v>
      </c>
      <c r="DY21" t="e">
        <f>#REF!</f>
        <v>#REF!</v>
      </c>
      <c r="DZ21" t="e">
        <f>#REF!</f>
        <v>#REF!</v>
      </c>
      <c r="EA21" t="e">
        <f>#REF!</f>
        <v>#REF!</v>
      </c>
      <c r="EB21" t="e">
        <f>#REF!</f>
        <v>#REF!</v>
      </c>
      <c r="EC21" t="e">
        <f>#REF!</f>
        <v>#REF!</v>
      </c>
      <c r="ED21" t="e">
        <f>#REF!</f>
        <v>#REF!</v>
      </c>
      <c r="EE21" t="e">
        <f>#REF!</f>
        <v>#REF!</v>
      </c>
      <c r="EF21" t="e">
        <f>#REF!</f>
        <v>#REF!</v>
      </c>
      <c r="EG21" t="e">
        <f>#REF!</f>
        <v>#REF!</v>
      </c>
      <c r="EH21" t="e">
        <f>#REF!</f>
        <v>#REF!</v>
      </c>
      <c r="EI21" t="e">
        <f>#REF!</f>
        <v>#REF!</v>
      </c>
      <c r="EJ21" t="e">
        <f>#REF!</f>
        <v>#REF!</v>
      </c>
      <c r="EK21" t="e">
        <f>#REF!</f>
        <v>#REF!</v>
      </c>
      <c r="EL21" t="e">
        <f>#REF!</f>
        <v>#REF!</v>
      </c>
      <c r="EM21" t="e">
        <f>#REF!</f>
        <v>#REF!</v>
      </c>
      <c r="EN21" t="e">
        <f>#REF!</f>
        <v>#REF!</v>
      </c>
      <c r="EO21" t="e">
        <f>#REF!</f>
        <v>#REF!</v>
      </c>
      <c r="EP21" t="e">
        <f>#REF!</f>
        <v>#REF!</v>
      </c>
      <c r="EQ21" t="e">
        <f>#REF!</f>
        <v>#REF!</v>
      </c>
      <c r="ER21" t="e">
        <f>#REF!</f>
        <v>#REF!</v>
      </c>
      <c r="ES21" t="e">
        <f>#REF!</f>
        <v>#REF!</v>
      </c>
      <c r="ET21" t="e">
        <f>#REF!</f>
        <v>#REF!</v>
      </c>
      <c r="EU21" t="e">
        <f>#REF!</f>
        <v>#REF!</v>
      </c>
      <c r="EV21" t="e">
        <f>#REF!</f>
        <v>#REF!</v>
      </c>
      <c r="EW21" t="e">
        <f>#REF!</f>
        <v>#REF!</v>
      </c>
      <c r="EX21" t="e">
        <f>#REF!</f>
        <v>#REF!</v>
      </c>
      <c r="EY21" t="e">
        <f>#REF!</f>
        <v>#REF!</v>
      </c>
      <c r="EZ21" t="e">
        <f>#REF!</f>
        <v>#REF!</v>
      </c>
      <c r="FA21" t="e">
        <f>#REF!</f>
        <v>#REF!</v>
      </c>
      <c r="FB21" t="e">
        <f>#REF!</f>
        <v>#REF!</v>
      </c>
      <c r="FC21" t="e">
        <f>#REF!</f>
        <v>#REF!</v>
      </c>
      <c r="FD21" t="e">
        <f>#REF!</f>
        <v>#REF!</v>
      </c>
      <c r="FE21" t="e">
        <f>#REF!</f>
        <v>#REF!</v>
      </c>
      <c r="FF21" t="e">
        <f>#REF!</f>
        <v>#REF!</v>
      </c>
      <c r="FG21" t="e">
        <f>#REF!</f>
        <v>#REF!</v>
      </c>
      <c r="FH21" t="e">
        <f>#REF!</f>
        <v>#REF!</v>
      </c>
      <c r="FI21" t="e">
        <f>#REF!</f>
        <v>#REF!</v>
      </c>
      <c r="FJ21" t="e">
        <f>#REF!</f>
        <v>#REF!</v>
      </c>
      <c r="FK21" t="e">
        <f>#REF!</f>
        <v>#REF!</v>
      </c>
      <c r="FL21" t="e">
        <f>#REF!</f>
        <v>#REF!</v>
      </c>
      <c r="FM21" t="e">
        <f>#REF!</f>
        <v>#REF!</v>
      </c>
      <c r="FN21" t="e">
        <f>#REF!</f>
        <v>#REF!</v>
      </c>
    </row>
    <row r="22" spans="1:170" ht="15" x14ac:dyDescent="0.25">
      <c r="A22" s="619">
        <v>1</v>
      </c>
      <c r="B22" s="133" t="e">
        <f>RIGHT(#REF!,LEN(#REF!)-(FIND("Standards",#REF!,1)+9))</f>
        <v>#REF!</v>
      </c>
      <c r="C22" s="620" t="e">
        <f>#REF!</f>
        <v>#REF!</v>
      </c>
      <c r="D22" s="620">
        <v>72686</v>
      </c>
      <c r="E22" s="621" t="e">
        <f>#REF!</f>
        <v>#REF!</v>
      </c>
      <c r="F22" s="621" t="e">
        <f>#REF!</f>
        <v>#REF!</v>
      </c>
      <c r="G22" s="619" t="e">
        <f>#REF!</f>
        <v>#REF!</v>
      </c>
      <c r="H22" s="619" t="e">
        <f>#REF!</f>
        <v>#REF!</v>
      </c>
      <c r="I22" s="621" t="e">
        <f>#REF!</f>
        <v>#REF!</v>
      </c>
      <c r="J22" s="619" t="e">
        <f>#REF!</f>
        <v>#REF!</v>
      </c>
      <c r="K22" s="621" t="e">
        <f>#REF!</f>
        <v>#REF!</v>
      </c>
      <c r="L22" s="622" t="e">
        <f>#REF!</f>
        <v>#REF!</v>
      </c>
      <c r="M22" s="622" t="e">
        <f>#REF!</f>
        <v>#REF!</v>
      </c>
      <c r="N22" t="e">
        <f>#REF!</f>
        <v>#REF!</v>
      </c>
      <c r="O22" t="e">
        <f>#REF!</f>
        <v>#REF!</v>
      </c>
      <c r="P22" t="e">
        <f>#REF!</f>
        <v>#REF!</v>
      </c>
      <c r="Q22" s="136" t="e">
        <f>#REF!</f>
        <v>#REF!</v>
      </c>
      <c r="R22" s="136" t="e">
        <f>#REF!</f>
        <v>#REF!</v>
      </c>
      <c r="S22" s="136" t="e">
        <f>#REF!</f>
        <v>#REF!</v>
      </c>
      <c r="T22" s="136" t="e">
        <f>#REF!</f>
        <v>#REF!</v>
      </c>
      <c r="U22" s="136" t="e">
        <f>#REF!</f>
        <v>#REF!</v>
      </c>
      <c r="V22" s="136" t="e">
        <f>#REF!</f>
        <v>#REF!</v>
      </c>
      <c r="W22" s="136" t="e">
        <f>#REF!</f>
        <v>#REF!</v>
      </c>
      <c r="X22" s="136" t="e">
        <f>#REF!</f>
        <v>#REF!</v>
      </c>
      <c r="Y22" s="136" t="e">
        <f>#REF!</f>
        <v>#REF!</v>
      </c>
      <c r="Z22" s="136" t="e">
        <f>#REF!</f>
        <v>#REF!</v>
      </c>
      <c r="AA22" s="136" t="e">
        <f>#REF!</f>
        <v>#REF!</v>
      </c>
      <c r="AB22" s="136" t="e">
        <f>#REF!</f>
        <v>#REF!</v>
      </c>
      <c r="AC22" s="136" t="e">
        <f>#REF!</f>
        <v>#REF!</v>
      </c>
      <c r="AD22" s="136" t="e">
        <f>#REF!</f>
        <v>#REF!</v>
      </c>
      <c r="AE22" s="136" t="e">
        <f>#REF!</f>
        <v>#REF!</v>
      </c>
      <c r="AF22" s="136" t="e">
        <f>#REF!</f>
        <v>#REF!</v>
      </c>
      <c r="AG22" s="136" t="e">
        <f>#REF!</f>
        <v>#REF!</v>
      </c>
      <c r="AH22" s="136" t="e">
        <f>#REF!</f>
        <v>#REF!</v>
      </c>
      <c r="AI22" s="136" t="e">
        <f>#REF!</f>
        <v>#REF!</v>
      </c>
      <c r="AJ22" s="136" t="e">
        <f>#REF!</f>
        <v>#REF!</v>
      </c>
      <c r="AK22" s="136" t="e">
        <f>#REF!</f>
        <v>#REF!</v>
      </c>
      <c r="AL22" s="136"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s="137" t="e">
        <f>#REF!</f>
        <v>#REF!</v>
      </c>
      <c r="BO22" s="137" t="e">
        <f>#REF!</f>
        <v>#REF!</v>
      </c>
      <c r="BP22" s="137" t="e">
        <f>#REF!</f>
        <v>#REF!</v>
      </c>
      <c r="BQ22" s="137" t="e">
        <f>#REF!</f>
        <v>#REF!</v>
      </c>
      <c r="BR22" s="137" t="e">
        <f>#REF!</f>
        <v>#REF!</v>
      </c>
      <c r="BS22" s="137" t="e">
        <f>#REF!</f>
        <v>#REF!</v>
      </c>
      <c r="BT22" s="137" t="e">
        <f>#REF!</f>
        <v>#REF!</v>
      </c>
      <c r="BU22" s="137" t="e">
        <f>#REF!</f>
        <v>#REF!</v>
      </c>
      <c r="BV22" s="137" t="e">
        <f>#REF!</f>
        <v>#REF!</v>
      </c>
      <c r="BW22" s="137" t="e">
        <f>#REF!</f>
        <v>#REF!</v>
      </c>
      <c r="BX22" s="137" t="e">
        <f>#REF!</f>
        <v>#REF!</v>
      </c>
      <c r="BY22" s="137" t="e">
        <f>#REF!</f>
        <v>#REF!</v>
      </c>
      <c r="BZ22" s="137" t="e">
        <f>#REF!</f>
        <v>#REF!</v>
      </c>
      <c r="CA22" s="137" t="e">
        <f>#REF!</f>
        <v>#REF!</v>
      </c>
      <c r="CB22" t="e">
        <f>#REF!</f>
        <v>#REF!</v>
      </c>
      <c r="CC22" t="e">
        <f>#REF!</f>
        <v>#REF!</v>
      </c>
      <c r="CD22" t="e">
        <f>#REF!</f>
        <v>#REF!</v>
      </c>
      <c r="CE22" t="e">
        <f>#REF!</f>
        <v>#REF!</v>
      </c>
      <c r="CF22" t="e">
        <f>#REF!</f>
        <v>#REF!</v>
      </c>
      <c r="CG22" t="e">
        <f>#REF!</f>
        <v>#REF!</v>
      </c>
      <c r="CH22" t="e">
        <f>#REF!</f>
        <v>#REF!</v>
      </c>
      <c r="CI22" t="e">
        <f>#REF!</f>
        <v>#REF!</v>
      </c>
      <c r="CJ22" s="136" t="e">
        <f>#REF!</f>
        <v>#REF!</v>
      </c>
      <c r="CK22" s="136" t="e">
        <f>#REF!</f>
        <v>#REF!</v>
      </c>
      <c r="CL22" s="136" t="e">
        <f>#REF!</f>
        <v>#REF!</v>
      </c>
      <c r="CM22" s="136" t="e">
        <f>#REF!</f>
        <v>#REF!</v>
      </c>
      <c r="CN22" s="136" t="e">
        <f>#REF!</f>
        <v>#REF!</v>
      </c>
      <c r="CO22" s="136" t="e">
        <f>#REF!</f>
        <v>#REF!</v>
      </c>
      <c r="CP22" t="e">
        <f>#REF!</f>
        <v>#REF!</v>
      </c>
      <c r="CQ22" t="e">
        <f>#REF!</f>
        <v>#REF!</v>
      </c>
      <c r="CR22" t="e">
        <f>#REF!</f>
        <v>#REF!</v>
      </c>
      <c r="CS22" t="e">
        <f>#REF!</f>
        <v>#REF!</v>
      </c>
      <c r="CT22" t="e">
        <f>#REF!</f>
        <v>#REF!</v>
      </c>
      <c r="CU22" t="e">
        <f>#REF!</f>
        <v>#REF!</v>
      </c>
      <c r="CV22" t="e">
        <f>#REF!</f>
        <v>#REF!</v>
      </c>
      <c r="CW22" t="e">
        <f>#REF!</f>
        <v>#REF!</v>
      </c>
      <c r="CX22" t="e">
        <f>#REF!</f>
        <v>#REF!</v>
      </c>
      <c r="CY22" t="e">
        <f>#REF!</f>
        <v>#REF!</v>
      </c>
      <c r="CZ22" t="e">
        <f>#REF!</f>
        <v>#REF!</v>
      </c>
      <c r="DA22" t="e">
        <f>#REF!</f>
        <v>#REF!</v>
      </c>
      <c r="DB22" t="e">
        <f>#REF!</f>
        <v>#REF!</v>
      </c>
      <c r="DC22" t="e">
        <f>#REF!</f>
        <v>#REF!</v>
      </c>
      <c r="DD22" t="e">
        <f>#REF!</f>
        <v>#REF!</v>
      </c>
      <c r="DE22" t="e">
        <f>#REF!</f>
        <v>#REF!</v>
      </c>
      <c r="DF22" t="e">
        <f>#REF!</f>
        <v>#REF!</v>
      </c>
      <c r="DG22" t="e">
        <f>#REF!</f>
        <v>#REF!</v>
      </c>
      <c r="DH22" t="e">
        <f>#REF!</f>
        <v>#REF!</v>
      </c>
      <c r="DI22" t="e">
        <f>#REF!</f>
        <v>#REF!</v>
      </c>
      <c r="DJ22" t="e">
        <f>#REF!</f>
        <v>#REF!</v>
      </c>
      <c r="DK22" t="e">
        <f>#REF!</f>
        <v>#REF!</v>
      </c>
      <c r="DL22" t="e">
        <f>#REF!</f>
        <v>#REF!</v>
      </c>
      <c r="DM22" t="e">
        <f>#REF!</f>
        <v>#REF!</v>
      </c>
      <c r="DN22" t="e">
        <f>#REF!</f>
        <v>#REF!</v>
      </c>
      <c r="DO22" t="e">
        <f>#REF!</f>
        <v>#REF!</v>
      </c>
      <c r="DP22" t="e">
        <f>#REF!</f>
        <v>#REF!</v>
      </c>
      <c r="DQ22" t="e">
        <f>#REF!</f>
        <v>#REF!</v>
      </c>
      <c r="DR22" t="e">
        <f>#REF!</f>
        <v>#REF!</v>
      </c>
      <c r="DS22" t="e">
        <f>#REF!</f>
        <v>#REF!</v>
      </c>
      <c r="DT22" t="e">
        <f>#REF!</f>
        <v>#REF!</v>
      </c>
      <c r="DU22" t="e">
        <f>#REF!</f>
        <v>#REF!</v>
      </c>
      <c r="DV22" t="e">
        <f>#REF!</f>
        <v>#REF!</v>
      </c>
      <c r="DW22" t="e">
        <f>#REF!</f>
        <v>#REF!</v>
      </c>
      <c r="DX22" t="e">
        <f>#REF!</f>
        <v>#REF!</v>
      </c>
      <c r="DY22" t="e">
        <f>#REF!</f>
        <v>#REF!</v>
      </c>
      <c r="DZ22" t="e">
        <f>#REF!</f>
        <v>#REF!</v>
      </c>
      <c r="EA22" t="e">
        <f>#REF!</f>
        <v>#REF!</v>
      </c>
      <c r="EB22" t="e">
        <f>#REF!</f>
        <v>#REF!</v>
      </c>
      <c r="EC22" t="e">
        <f>#REF!</f>
        <v>#REF!</v>
      </c>
      <c r="ED22" t="e">
        <f>#REF!</f>
        <v>#REF!</v>
      </c>
      <c r="EE22" t="e">
        <f>#REF!</f>
        <v>#REF!</v>
      </c>
      <c r="EF22" t="e">
        <f>#REF!</f>
        <v>#REF!</v>
      </c>
      <c r="EG22" t="e">
        <f>#REF!</f>
        <v>#REF!</v>
      </c>
      <c r="EH22" t="e">
        <f>#REF!</f>
        <v>#REF!</v>
      </c>
      <c r="EI22" t="e">
        <f>#REF!</f>
        <v>#REF!</v>
      </c>
      <c r="EJ22" t="e">
        <f>#REF!</f>
        <v>#REF!</v>
      </c>
      <c r="EK22" t="e">
        <f>#REF!</f>
        <v>#REF!</v>
      </c>
      <c r="EL22" t="e">
        <f>#REF!</f>
        <v>#REF!</v>
      </c>
      <c r="EM22" t="e">
        <f>#REF!</f>
        <v>#REF!</v>
      </c>
      <c r="EN22" t="e">
        <f>#REF!</f>
        <v>#REF!</v>
      </c>
      <c r="EO22" t="e">
        <f>#REF!</f>
        <v>#REF!</v>
      </c>
      <c r="EP22" t="e">
        <f>#REF!</f>
        <v>#REF!</v>
      </c>
      <c r="EQ22" t="e">
        <f>#REF!</f>
        <v>#REF!</v>
      </c>
      <c r="ER22" t="e">
        <f>#REF!</f>
        <v>#REF!</v>
      </c>
      <c r="ES22" t="e">
        <f>#REF!</f>
        <v>#REF!</v>
      </c>
      <c r="ET22" t="e">
        <f>#REF!</f>
        <v>#REF!</v>
      </c>
      <c r="EU22" t="e">
        <f>#REF!</f>
        <v>#REF!</v>
      </c>
      <c r="EV22" t="e">
        <f>#REF!</f>
        <v>#REF!</v>
      </c>
      <c r="EW22" t="e">
        <f>#REF!</f>
        <v>#REF!</v>
      </c>
      <c r="EX22" t="e">
        <f>#REF!</f>
        <v>#REF!</v>
      </c>
      <c r="EY22" t="e">
        <f>#REF!</f>
        <v>#REF!</v>
      </c>
      <c r="EZ22" t="e">
        <f>#REF!</f>
        <v>#REF!</v>
      </c>
      <c r="FA22" t="e">
        <f>#REF!</f>
        <v>#REF!</v>
      </c>
      <c r="FB22" t="e">
        <f>#REF!</f>
        <v>#REF!</v>
      </c>
      <c r="FC22" t="e">
        <f>#REF!</f>
        <v>#REF!</v>
      </c>
      <c r="FD22" t="e">
        <f>#REF!</f>
        <v>#REF!</v>
      </c>
      <c r="FE22" t="e">
        <f>#REF!</f>
        <v>#REF!</v>
      </c>
      <c r="FF22" t="e">
        <f>#REF!</f>
        <v>#REF!</v>
      </c>
      <c r="FG22" t="e">
        <f>#REF!</f>
        <v>#REF!</v>
      </c>
      <c r="FH22" t="e">
        <f>#REF!</f>
        <v>#REF!</v>
      </c>
      <c r="FI22" t="e">
        <f>#REF!</f>
        <v>#REF!</v>
      </c>
      <c r="FJ22" t="e">
        <f>#REF!</f>
        <v>#REF!</v>
      </c>
      <c r="FK22" t="e">
        <f>#REF!</f>
        <v>#REF!</v>
      </c>
      <c r="FL22" t="e">
        <f>#REF!</f>
        <v>#REF!</v>
      </c>
      <c r="FM22" t="e">
        <f>#REF!</f>
        <v>#REF!</v>
      </c>
      <c r="FN22" t="e">
        <f>#REF!</f>
        <v>#REF!</v>
      </c>
    </row>
    <row r="23" spans="1:170" ht="15" x14ac:dyDescent="0.25">
      <c r="A23" s="619">
        <v>1</v>
      </c>
      <c r="B23" s="133" t="e">
        <f>RIGHT(#REF!,LEN(#REF!)-(FIND("Standards",#REF!,1)+9))</f>
        <v>#REF!</v>
      </c>
      <c r="C23" s="620" t="e">
        <f>#REF!</f>
        <v>#REF!</v>
      </c>
      <c r="D23" s="620">
        <v>72686</v>
      </c>
      <c r="E23" s="621" t="e">
        <f>#REF!</f>
        <v>#REF!</v>
      </c>
      <c r="F23" s="621" t="e">
        <f>#REF!</f>
        <v>#REF!</v>
      </c>
      <c r="G23" s="619" t="e">
        <f>#REF!</f>
        <v>#REF!</v>
      </c>
      <c r="H23" s="619" t="e">
        <f>#REF!</f>
        <v>#REF!</v>
      </c>
      <c r="I23" s="621" t="e">
        <f>#REF!</f>
        <v>#REF!</v>
      </c>
      <c r="J23" s="619" t="e">
        <f>#REF!</f>
        <v>#REF!</v>
      </c>
      <c r="K23" s="621" t="e">
        <f>#REF!</f>
        <v>#REF!</v>
      </c>
      <c r="L23" s="622" t="e">
        <f>#REF!</f>
        <v>#REF!</v>
      </c>
      <c r="M23" s="622" t="e">
        <f>#REF!</f>
        <v>#REF!</v>
      </c>
      <c r="N23" t="e">
        <f>#REF!</f>
        <v>#REF!</v>
      </c>
      <c r="O23" t="e">
        <f>#REF!</f>
        <v>#REF!</v>
      </c>
      <c r="P23" t="e">
        <f>#REF!</f>
        <v>#REF!</v>
      </c>
      <c r="Q23" s="136" t="e">
        <f>#REF!</f>
        <v>#REF!</v>
      </c>
      <c r="R23" s="136" t="e">
        <f>#REF!</f>
        <v>#REF!</v>
      </c>
      <c r="S23" s="136" t="e">
        <f>#REF!</f>
        <v>#REF!</v>
      </c>
      <c r="T23" s="136" t="e">
        <f>#REF!</f>
        <v>#REF!</v>
      </c>
      <c r="U23" s="136" t="e">
        <f>#REF!</f>
        <v>#REF!</v>
      </c>
      <c r="V23" s="136" t="e">
        <f>#REF!</f>
        <v>#REF!</v>
      </c>
      <c r="W23" s="136" t="e">
        <f>#REF!</f>
        <v>#REF!</v>
      </c>
      <c r="X23" s="136" t="e">
        <f>#REF!</f>
        <v>#REF!</v>
      </c>
      <c r="Y23" s="136" t="e">
        <f>#REF!</f>
        <v>#REF!</v>
      </c>
      <c r="Z23" s="136" t="e">
        <f>#REF!</f>
        <v>#REF!</v>
      </c>
      <c r="AA23" s="136" t="e">
        <f>#REF!</f>
        <v>#REF!</v>
      </c>
      <c r="AB23" s="136" t="e">
        <f>#REF!</f>
        <v>#REF!</v>
      </c>
      <c r="AC23" s="136" t="e">
        <f>#REF!</f>
        <v>#REF!</v>
      </c>
      <c r="AD23" s="136" t="e">
        <f>#REF!</f>
        <v>#REF!</v>
      </c>
      <c r="AE23" s="136" t="e">
        <f>#REF!</f>
        <v>#REF!</v>
      </c>
      <c r="AF23" s="136" t="e">
        <f>#REF!</f>
        <v>#REF!</v>
      </c>
      <c r="AG23" s="136" t="e">
        <f>#REF!</f>
        <v>#REF!</v>
      </c>
      <c r="AH23" s="136" t="e">
        <f>#REF!</f>
        <v>#REF!</v>
      </c>
      <c r="AI23" s="136" t="e">
        <f>#REF!</f>
        <v>#REF!</v>
      </c>
      <c r="AJ23" s="136" t="e">
        <f>#REF!</f>
        <v>#REF!</v>
      </c>
      <c r="AK23" s="136" t="e">
        <f>#REF!</f>
        <v>#REF!</v>
      </c>
      <c r="AL23" s="136"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s="137" t="e">
        <f>#REF!</f>
        <v>#REF!</v>
      </c>
      <c r="BO23" s="137" t="e">
        <f>#REF!</f>
        <v>#REF!</v>
      </c>
      <c r="BP23" s="137" t="e">
        <f>#REF!</f>
        <v>#REF!</v>
      </c>
      <c r="BQ23" s="137" t="e">
        <f>#REF!</f>
        <v>#REF!</v>
      </c>
      <c r="BR23" s="137" t="e">
        <f>#REF!</f>
        <v>#REF!</v>
      </c>
      <c r="BS23" s="137" t="e">
        <f>#REF!</f>
        <v>#REF!</v>
      </c>
      <c r="BT23" s="137" t="e">
        <f>#REF!</f>
        <v>#REF!</v>
      </c>
      <c r="BU23" s="137" t="e">
        <f>#REF!</f>
        <v>#REF!</v>
      </c>
      <c r="BV23" s="137" t="e">
        <f>#REF!</f>
        <v>#REF!</v>
      </c>
      <c r="BW23" s="137" t="e">
        <f>#REF!</f>
        <v>#REF!</v>
      </c>
      <c r="BX23" s="137" t="e">
        <f>#REF!</f>
        <v>#REF!</v>
      </c>
      <c r="BY23" s="137" t="e">
        <f>#REF!</f>
        <v>#REF!</v>
      </c>
      <c r="BZ23" s="137" t="e">
        <f>#REF!</f>
        <v>#REF!</v>
      </c>
      <c r="CA23" s="137" t="e">
        <f>#REF!</f>
        <v>#REF!</v>
      </c>
      <c r="CB23" t="e">
        <f>#REF!</f>
        <v>#REF!</v>
      </c>
      <c r="CC23" t="e">
        <f>#REF!</f>
        <v>#REF!</v>
      </c>
      <c r="CD23" t="e">
        <f>#REF!</f>
        <v>#REF!</v>
      </c>
      <c r="CE23" t="e">
        <f>#REF!</f>
        <v>#REF!</v>
      </c>
      <c r="CF23" t="e">
        <f>#REF!</f>
        <v>#REF!</v>
      </c>
      <c r="CG23" t="e">
        <f>#REF!</f>
        <v>#REF!</v>
      </c>
      <c r="CH23" t="e">
        <f>#REF!</f>
        <v>#REF!</v>
      </c>
      <c r="CI23" t="e">
        <f>#REF!</f>
        <v>#REF!</v>
      </c>
      <c r="CJ23" s="136" t="e">
        <f>#REF!</f>
        <v>#REF!</v>
      </c>
      <c r="CK23" s="136" t="e">
        <f>#REF!</f>
        <v>#REF!</v>
      </c>
      <c r="CL23" s="136" t="e">
        <f>#REF!</f>
        <v>#REF!</v>
      </c>
      <c r="CM23" s="136" t="e">
        <f>#REF!</f>
        <v>#REF!</v>
      </c>
      <c r="CN23" s="136" t="e">
        <f>#REF!</f>
        <v>#REF!</v>
      </c>
      <c r="CO23" s="136" t="e">
        <f>#REF!</f>
        <v>#REF!</v>
      </c>
      <c r="CP23" t="e">
        <f>#REF!</f>
        <v>#REF!</v>
      </c>
      <c r="CQ23" t="e">
        <f>#REF!</f>
        <v>#REF!</v>
      </c>
      <c r="CR23" t="e">
        <f>#REF!</f>
        <v>#REF!</v>
      </c>
      <c r="CS23" t="e">
        <f>#REF!</f>
        <v>#REF!</v>
      </c>
      <c r="CT23" t="e">
        <f>#REF!</f>
        <v>#REF!</v>
      </c>
      <c r="CU23" t="e">
        <f>#REF!</f>
        <v>#REF!</v>
      </c>
      <c r="CV23" t="e">
        <f>#REF!</f>
        <v>#REF!</v>
      </c>
      <c r="CW23" t="e">
        <f>#REF!</f>
        <v>#REF!</v>
      </c>
      <c r="CX23" t="e">
        <f>#REF!</f>
        <v>#REF!</v>
      </c>
      <c r="CY23" t="e">
        <f>#REF!</f>
        <v>#REF!</v>
      </c>
      <c r="CZ23" t="e">
        <f>#REF!</f>
        <v>#REF!</v>
      </c>
      <c r="DA23" t="e">
        <f>#REF!</f>
        <v>#REF!</v>
      </c>
      <c r="DB23" t="e">
        <f>#REF!</f>
        <v>#REF!</v>
      </c>
      <c r="DC23" t="e">
        <f>#REF!</f>
        <v>#REF!</v>
      </c>
      <c r="DD23" t="e">
        <f>#REF!</f>
        <v>#REF!</v>
      </c>
      <c r="DE23" t="e">
        <f>#REF!</f>
        <v>#REF!</v>
      </c>
      <c r="DF23" t="e">
        <f>#REF!</f>
        <v>#REF!</v>
      </c>
      <c r="DG23" t="e">
        <f>#REF!</f>
        <v>#REF!</v>
      </c>
      <c r="DH23" t="e">
        <f>#REF!</f>
        <v>#REF!</v>
      </c>
      <c r="DI23" t="e">
        <f>#REF!</f>
        <v>#REF!</v>
      </c>
      <c r="DJ23" t="e">
        <f>#REF!</f>
        <v>#REF!</v>
      </c>
      <c r="DK23" t="e">
        <f>#REF!</f>
        <v>#REF!</v>
      </c>
      <c r="DL23" t="e">
        <f>#REF!</f>
        <v>#REF!</v>
      </c>
      <c r="DM23" t="e">
        <f>#REF!</f>
        <v>#REF!</v>
      </c>
      <c r="DN23" t="e">
        <f>#REF!</f>
        <v>#REF!</v>
      </c>
      <c r="DO23" t="e">
        <f>#REF!</f>
        <v>#REF!</v>
      </c>
      <c r="DP23" t="e">
        <f>#REF!</f>
        <v>#REF!</v>
      </c>
      <c r="DQ23" t="e">
        <f>#REF!</f>
        <v>#REF!</v>
      </c>
      <c r="DR23" t="e">
        <f>#REF!</f>
        <v>#REF!</v>
      </c>
      <c r="DS23" t="e">
        <f>#REF!</f>
        <v>#REF!</v>
      </c>
      <c r="DT23" t="e">
        <f>#REF!</f>
        <v>#REF!</v>
      </c>
      <c r="DU23" t="e">
        <f>#REF!</f>
        <v>#REF!</v>
      </c>
      <c r="DV23" t="e">
        <f>#REF!</f>
        <v>#REF!</v>
      </c>
      <c r="DW23" t="e">
        <f>#REF!</f>
        <v>#REF!</v>
      </c>
      <c r="DX23" t="e">
        <f>#REF!</f>
        <v>#REF!</v>
      </c>
      <c r="DY23" t="e">
        <f>#REF!</f>
        <v>#REF!</v>
      </c>
      <c r="DZ23" t="e">
        <f>#REF!</f>
        <v>#REF!</v>
      </c>
      <c r="EA23" t="e">
        <f>#REF!</f>
        <v>#REF!</v>
      </c>
      <c r="EB23" t="e">
        <f>#REF!</f>
        <v>#REF!</v>
      </c>
      <c r="EC23" t="e">
        <f>#REF!</f>
        <v>#REF!</v>
      </c>
      <c r="ED23" t="e">
        <f>#REF!</f>
        <v>#REF!</v>
      </c>
      <c r="EE23" t="e">
        <f>#REF!</f>
        <v>#REF!</v>
      </c>
      <c r="EF23" t="e">
        <f>#REF!</f>
        <v>#REF!</v>
      </c>
      <c r="EG23" t="e">
        <f>#REF!</f>
        <v>#REF!</v>
      </c>
      <c r="EH23" t="e">
        <f>#REF!</f>
        <v>#REF!</v>
      </c>
      <c r="EI23" t="e">
        <f>#REF!</f>
        <v>#REF!</v>
      </c>
      <c r="EJ23" t="e">
        <f>#REF!</f>
        <v>#REF!</v>
      </c>
      <c r="EK23" t="e">
        <f>#REF!</f>
        <v>#REF!</v>
      </c>
      <c r="EL23" t="e">
        <f>#REF!</f>
        <v>#REF!</v>
      </c>
      <c r="EM23" t="e">
        <f>#REF!</f>
        <v>#REF!</v>
      </c>
      <c r="EN23" t="e">
        <f>#REF!</f>
        <v>#REF!</v>
      </c>
      <c r="EO23" t="e">
        <f>#REF!</f>
        <v>#REF!</v>
      </c>
      <c r="EP23" t="e">
        <f>#REF!</f>
        <v>#REF!</v>
      </c>
      <c r="EQ23" t="e">
        <f>#REF!</f>
        <v>#REF!</v>
      </c>
      <c r="ER23" t="e">
        <f>#REF!</f>
        <v>#REF!</v>
      </c>
      <c r="ES23" t="e">
        <f>#REF!</f>
        <v>#REF!</v>
      </c>
      <c r="ET23" t="e">
        <f>#REF!</f>
        <v>#REF!</v>
      </c>
      <c r="EU23" t="e">
        <f>#REF!</f>
        <v>#REF!</v>
      </c>
      <c r="EV23" t="e">
        <f>#REF!</f>
        <v>#REF!</v>
      </c>
      <c r="EW23" t="e">
        <f>#REF!</f>
        <v>#REF!</v>
      </c>
      <c r="EX23" t="e">
        <f>#REF!</f>
        <v>#REF!</v>
      </c>
      <c r="EY23" t="e">
        <f>#REF!</f>
        <v>#REF!</v>
      </c>
      <c r="EZ23" t="e">
        <f>#REF!</f>
        <v>#REF!</v>
      </c>
      <c r="FA23" t="e">
        <f>#REF!</f>
        <v>#REF!</v>
      </c>
      <c r="FB23" t="e">
        <f>#REF!</f>
        <v>#REF!</v>
      </c>
      <c r="FC23" t="e">
        <f>#REF!</f>
        <v>#REF!</v>
      </c>
      <c r="FD23" t="e">
        <f>#REF!</f>
        <v>#REF!</v>
      </c>
      <c r="FE23" t="e">
        <f>#REF!</f>
        <v>#REF!</v>
      </c>
      <c r="FF23" t="e">
        <f>#REF!</f>
        <v>#REF!</v>
      </c>
      <c r="FG23" t="e">
        <f>#REF!</f>
        <v>#REF!</v>
      </c>
      <c r="FH23" t="e">
        <f>#REF!</f>
        <v>#REF!</v>
      </c>
      <c r="FI23" t="e">
        <f>#REF!</f>
        <v>#REF!</v>
      </c>
      <c r="FJ23" t="e">
        <f>#REF!</f>
        <v>#REF!</v>
      </c>
      <c r="FK23" t="e">
        <f>#REF!</f>
        <v>#REF!</v>
      </c>
      <c r="FL23" t="e">
        <f>#REF!</f>
        <v>#REF!</v>
      </c>
      <c r="FM23" t="e">
        <f>#REF!</f>
        <v>#REF!</v>
      </c>
      <c r="FN23" t="e">
        <f>#REF!</f>
        <v>#REF!</v>
      </c>
    </row>
    <row r="24" spans="1:170" ht="15" x14ac:dyDescent="0.25">
      <c r="A24" s="619">
        <v>1</v>
      </c>
      <c r="B24" s="133" t="e">
        <f>RIGHT(#REF!,LEN(#REF!)-(FIND("Standards",#REF!,1)+9))</f>
        <v>#REF!</v>
      </c>
      <c r="C24" s="620" t="e">
        <f>#REF!</f>
        <v>#REF!</v>
      </c>
      <c r="D24" s="620">
        <v>72686</v>
      </c>
      <c r="E24" s="621" t="e">
        <f>#REF!</f>
        <v>#REF!</v>
      </c>
      <c r="F24" s="621" t="e">
        <f>#REF!</f>
        <v>#REF!</v>
      </c>
      <c r="G24" s="619" t="e">
        <f>#REF!</f>
        <v>#REF!</v>
      </c>
      <c r="H24" s="619" t="e">
        <f>#REF!</f>
        <v>#REF!</v>
      </c>
      <c r="I24" s="621" t="e">
        <f>#REF!</f>
        <v>#REF!</v>
      </c>
      <c r="J24" s="619" t="e">
        <f>#REF!</f>
        <v>#REF!</v>
      </c>
      <c r="K24" s="621" t="e">
        <f>#REF!</f>
        <v>#REF!</v>
      </c>
      <c r="L24" s="622" t="e">
        <f>#REF!</f>
        <v>#REF!</v>
      </c>
      <c r="M24" s="622" t="e">
        <f>#REF!</f>
        <v>#REF!</v>
      </c>
      <c r="N24" t="e">
        <f>#REF!</f>
        <v>#REF!</v>
      </c>
      <c r="O24" t="e">
        <f>#REF!</f>
        <v>#REF!</v>
      </c>
      <c r="P24" t="e">
        <f>#REF!</f>
        <v>#REF!</v>
      </c>
      <c r="Q24" s="136" t="e">
        <f>#REF!</f>
        <v>#REF!</v>
      </c>
      <c r="R24" s="136" t="e">
        <f>#REF!</f>
        <v>#REF!</v>
      </c>
      <c r="S24" s="136" t="e">
        <f>#REF!</f>
        <v>#REF!</v>
      </c>
      <c r="T24" s="136" t="e">
        <f>#REF!</f>
        <v>#REF!</v>
      </c>
      <c r="U24" s="136" t="e">
        <f>#REF!</f>
        <v>#REF!</v>
      </c>
      <c r="V24" s="136" t="e">
        <f>#REF!</f>
        <v>#REF!</v>
      </c>
      <c r="W24" s="136" t="e">
        <f>#REF!</f>
        <v>#REF!</v>
      </c>
      <c r="X24" s="136" t="e">
        <f>#REF!</f>
        <v>#REF!</v>
      </c>
      <c r="Y24" s="136" t="e">
        <f>#REF!</f>
        <v>#REF!</v>
      </c>
      <c r="Z24" s="136" t="e">
        <f>#REF!</f>
        <v>#REF!</v>
      </c>
      <c r="AA24" s="136" t="e">
        <f>#REF!</f>
        <v>#REF!</v>
      </c>
      <c r="AB24" s="136" t="e">
        <f>#REF!</f>
        <v>#REF!</v>
      </c>
      <c r="AC24" s="136" t="e">
        <f>#REF!</f>
        <v>#REF!</v>
      </c>
      <c r="AD24" s="136" t="e">
        <f>#REF!</f>
        <v>#REF!</v>
      </c>
      <c r="AE24" s="136" t="e">
        <f>#REF!</f>
        <v>#REF!</v>
      </c>
      <c r="AF24" s="136" t="e">
        <f>#REF!</f>
        <v>#REF!</v>
      </c>
      <c r="AG24" s="136" t="e">
        <f>#REF!</f>
        <v>#REF!</v>
      </c>
      <c r="AH24" s="136" t="e">
        <f>#REF!</f>
        <v>#REF!</v>
      </c>
      <c r="AI24" s="136" t="e">
        <f>#REF!</f>
        <v>#REF!</v>
      </c>
      <c r="AJ24" s="136" t="e">
        <f>#REF!</f>
        <v>#REF!</v>
      </c>
      <c r="AK24" s="136" t="e">
        <f>#REF!</f>
        <v>#REF!</v>
      </c>
      <c r="AL24" s="136"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s="137" t="e">
        <f>#REF!</f>
        <v>#REF!</v>
      </c>
      <c r="BO24" s="137" t="e">
        <f>#REF!</f>
        <v>#REF!</v>
      </c>
      <c r="BP24" s="137" t="e">
        <f>#REF!</f>
        <v>#REF!</v>
      </c>
      <c r="BQ24" s="137" t="e">
        <f>#REF!</f>
        <v>#REF!</v>
      </c>
      <c r="BR24" s="137" t="e">
        <f>#REF!</f>
        <v>#REF!</v>
      </c>
      <c r="BS24" s="137" t="e">
        <f>#REF!</f>
        <v>#REF!</v>
      </c>
      <c r="BT24" s="137" t="e">
        <f>#REF!</f>
        <v>#REF!</v>
      </c>
      <c r="BU24" s="137" t="e">
        <f>#REF!</f>
        <v>#REF!</v>
      </c>
      <c r="BV24" s="137" t="e">
        <f>#REF!</f>
        <v>#REF!</v>
      </c>
      <c r="BW24" s="137" t="e">
        <f>#REF!</f>
        <v>#REF!</v>
      </c>
      <c r="BX24" s="137" t="e">
        <f>#REF!</f>
        <v>#REF!</v>
      </c>
      <c r="BY24" s="137" t="e">
        <f>#REF!</f>
        <v>#REF!</v>
      </c>
      <c r="BZ24" s="137" t="e">
        <f>#REF!</f>
        <v>#REF!</v>
      </c>
      <c r="CA24" s="137" t="e">
        <f>#REF!</f>
        <v>#REF!</v>
      </c>
      <c r="CB24" t="e">
        <f>#REF!</f>
        <v>#REF!</v>
      </c>
      <c r="CC24" t="e">
        <f>#REF!</f>
        <v>#REF!</v>
      </c>
      <c r="CD24" t="e">
        <f>#REF!</f>
        <v>#REF!</v>
      </c>
      <c r="CE24" t="e">
        <f>#REF!</f>
        <v>#REF!</v>
      </c>
      <c r="CF24" t="e">
        <f>#REF!</f>
        <v>#REF!</v>
      </c>
      <c r="CG24" t="e">
        <f>#REF!</f>
        <v>#REF!</v>
      </c>
      <c r="CH24" t="e">
        <f>#REF!</f>
        <v>#REF!</v>
      </c>
      <c r="CI24" t="e">
        <f>#REF!</f>
        <v>#REF!</v>
      </c>
      <c r="CJ24" s="136" t="e">
        <f>#REF!</f>
        <v>#REF!</v>
      </c>
      <c r="CK24" s="136" t="e">
        <f>#REF!</f>
        <v>#REF!</v>
      </c>
      <c r="CL24" s="136" t="e">
        <f>#REF!</f>
        <v>#REF!</v>
      </c>
      <c r="CM24" s="136" t="e">
        <f>#REF!</f>
        <v>#REF!</v>
      </c>
      <c r="CN24" s="136" t="e">
        <f>#REF!</f>
        <v>#REF!</v>
      </c>
      <c r="CO24" s="136" t="e">
        <f>#REF!</f>
        <v>#REF!</v>
      </c>
      <c r="CP24" t="e">
        <f>#REF!</f>
        <v>#REF!</v>
      </c>
      <c r="CQ24" t="e">
        <f>#REF!</f>
        <v>#REF!</v>
      </c>
      <c r="CR24" t="e">
        <f>#REF!</f>
        <v>#REF!</v>
      </c>
      <c r="CS24" t="e">
        <f>#REF!</f>
        <v>#REF!</v>
      </c>
      <c r="CT24" t="e">
        <f>#REF!</f>
        <v>#REF!</v>
      </c>
      <c r="CU24" t="e">
        <f>#REF!</f>
        <v>#REF!</v>
      </c>
      <c r="CV24" t="e">
        <f>#REF!</f>
        <v>#REF!</v>
      </c>
      <c r="CW24" t="e">
        <f>#REF!</f>
        <v>#REF!</v>
      </c>
      <c r="CX24" t="e">
        <f>#REF!</f>
        <v>#REF!</v>
      </c>
      <c r="CY24" t="e">
        <f>#REF!</f>
        <v>#REF!</v>
      </c>
      <c r="CZ24" t="e">
        <f>#REF!</f>
        <v>#REF!</v>
      </c>
      <c r="DA24" t="e">
        <f>#REF!</f>
        <v>#REF!</v>
      </c>
      <c r="DB24" t="e">
        <f>#REF!</f>
        <v>#REF!</v>
      </c>
      <c r="DC24" t="e">
        <f>#REF!</f>
        <v>#REF!</v>
      </c>
      <c r="DD24" t="e">
        <f>#REF!</f>
        <v>#REF!</v>
      </c>
      <c r="DE24" t="e">
        <f>#REF!</f>
        <v>#REF!</v>
      </c>
      <c r="DF24" t="e">
        <f>#REF!</f>
        <v>#REF!</v>
      </c>
      <c r="DG24" t="e">
        <f>#REF!</f>
        <v>#REF!</v>
      </c>
      <c r="DH24" t="e">
        <f>#REF!</f>
        <v>#REF!</v>
      </c>
      <c r="DI24" t="e">
        <f>#REF!</f>
        <v>#REF!</v>
      </c>
      <c r="DJ24" t="e">
        <f>#REF!</f>
        <v>#REF!</v>
      </c>
      <c r="DK24" t="e">
        <f>#REF!</f>
        <v>#REF!</v>
      </c>
      <c r="DL24" t="e">
        <f>#REF!</f>
        <v>#REF!</v>
      </c>
      <c r="DM24" t="e">
        <f>#REF!</f>
        <v>#REF!</v>
      </c>
      <c r="DN24" t="e">
        <f>#REF!</f>
        <v>#REF!</v>
      </c>
      <c r="DO24" t="e">
        <f>#REF!</f>
        <v>#REF!</v>
      </c>
      <c r="DP24" t="e">
        <f>#REF!</f>
        <v>#REF!</v>
      </c>
      <c r="DQ24" t="e">
        <f>#REF!</f>
        <v>#REF!</v>
      </c>
      <c r="DR24" t="e">
        <f>#REF!</f>
        <v>#REF!</v>
      </c>
      <c r="DS24" t="e">
        <f>#REF!</f>
        <v>#REF!</v>
      </c>
      <c r="DT24" t="e">
        <f>#REF!</f>
        <v>#REF!</v>
      </c>
      <c r="DU24" t="e">
        <f>#REF!</f>
        <v>#REF!</v>
      </c>
      <c r="DV24" t="e">
        <f>#REF!</f>
        <v>#REF!</v>
      </c>
      <c r="DW24" t="e">
        <f>#REF!</f>
        <v>#REF!</v>
      </c>
      <c r="DX24" t="e">
        <f>#REF!</f>
        <v>#REF!</v>
      </c>
      <c r="DY24" t="e">
        <f>#REF!</f>
        <v>#REF!</v>
      </c>
      <c r="DZ24" t="e">
        <f>#REF!</f>
        <v>#REF!</v>
      </c>
      <c r="EA24" t="e">
        <f>#REF!</f>
        <v>#REF!</v>
      </c>
      <c r="EB24" t="e">
        <f>#REF!</f>
        <v>#REF!</v>
      </c>
      <c r="EC24" t="e">
        <f>#REF!</f>
        <v>#REF!</v>
      </c>
      <c r="ED24" t="e">
        <f>#REF!</f>
        <v>#REF!</v>
      </c>
      <c r="EE24" t="e">
        <f>#REF!</f>
        <v>#REF!</v>
      </c>
      <c r="EF24" t="e">
        <f>#REF!</f>
        <v>#REF!</v>
      </c>
      <c r="EG24" t="e">
        <f>#REF!</f>
        <v>#REF!</v>
      </c>
      <c r="EH24" t="e">
        <f>#REF!</f>
        <v>#REF!</v>
      </c>
      <c r="EI24" t="e">
        <f>#REF!</f>
        <v>#REF!</v>
      </c>
      <c r="EJ24" t="e">
        <f>#REF!</f>
        <v>#REF!</v>
      </c>
      <c r="EK24" t="e">
        <f>#REF!</f>
        <v>#REF!</v>
      </c>
      <c r="EL24" t="e">
        <f>#REF!</f>
        <v>#REF!</v>
      </c>
      <c r="EM24" t="e">
        <f>#REF!</f>
        <v>#REF!</v>
      </c>
      <c r="EN24" t="e">
        <f>#REF!</f>
        <v>#REF!</v>
      </c>
      <c r="EO24" t="e">
        <f>#REF!</f>
        <v>#REF!</v>
      </c>
      <c r="EP24" t="e">
        <f>#REF!</f>
        <v>#REF!</v>
      </c>
      <c r="EQ24" t="e">
        <f>#REF!</f>
        <v>#REF!</v>
      </c>
      <c r="ER24" t="e">
        <f>#REF!</f>
        <v>#REF!</v>
      </c>
      <c r="ES24" t="e">
        <f>#REF!</f>
        <v>#REF!</v>
      </c>
      <c r="ET24" t="e">
        <f>#REF!</f>
        <v>#REF!</v>
      </c>
      <c r="EU24" t="e">
        <f>#REF!</f>
        <v>#REF!</v>
      </c>
      <c r="EV24" t="e">
        <f>#REF!</f>
        <v>#REF!</v>
      </c>
      <c r="EW24" t="e">
        <f>#REF!</f>
        <v>#REF!</v>
      </c>
      <c r="EX24" t="e">
        <f>#REF!</f>
        <v>#REF!</v>
      </c>
      <c r="EY24" t="e">
        <f>#REF!</f>
        <v>#REF!</v>
      </c>
      <c r="EZ24" t="e">
        <f>#REF!</f>
        <v>#REF!</v>
      </c>
      <c r="FA24" t="e">
        <f>#REF!</f>
        <v>#REF!</v>
      </c>
      <c r="FB24" t="e">
        <f>#REF!</f>
        <v>#REF!</v>
      </c>
      <c r="FC24" t="e">
        <f>#REF!</f>
        <v>#REF!</v>
      </c>
      <c r="FD24" t="e">
        <f>#REF!</f>
        <v>#REF!</v>
      </c>
      <c r="FE24" t="e">
        <f>#REF!</f>
        <v>#REF!</v>
      </c>
      <c r="FF24" t="e">
        <f>#REF!</f>
        <v>#REF!</v>
      </c>
      <c r="FG24" t="e">
        <f>#REF!</f>
        <v>#REF!</v>
      </c>
      <c r="FH24" t="e">
        <f>#REF!</f>
        <v>#REF!</v>
      </c>
      <c r="FI24" t="e">
        <f>#REF!</f>
        <v>#REF!</v>
      </c>
      <c r="FJ24" t="e">
        <f>#REF!</f>
        <v>#REF!</v>
      </c>
      <c r="FK24" t="e">
        <f>#REF!</f>
        <v>#REF!</v>
      </c>
      <c r="FL24" t="e">
        <f>#REF!</f>
        <v>#REF!</v>
      </c>
      <c r="FM24" t="e">
        <f>#REF!</f>
        <v>#REF!</v>
      </c>
      <c r="FN24" t="e">
        <f>#REF!</f>
        <v>#REF!</v>
      </c>
    </row>
    <row r="25" spans="1:170" ht="15" x14ac:dyDescent="0.25">
      <c r="A25" s="619">
        <v>1</v>
      </c>
      <c r="B25" s="133" t="e">
        <f>RIGHT(#REF!,LEN(#REF!)-(FIND("Standards",#REF!,1)+9))</f>
        <v>#REF!</v>
      </c>
      <c r="C25" s="620" t="e">
        <f>#REF!</f>
        <v>#REF!</v>
      </c>
      <c r="D25" s="620">
        <v>72686</v>
      </c>
      <c r="E25" s="621" t="e">
        <f>#REF!</f>
        <v>#REF!</v>
      </c>
      <c r="F25" s="621" t="e">
        <f>#REF!</f>
        <v>#REF!</v>
      </c>
      <c r="G25" s="619" t="e">
        <f>#REF!</f>
        <v>#REF!</v>
      </c>
      <c r="H25" s="619" t="e">
        <f>#REF!</f>
        <v>#REF!</v>
      </c>
      <c r="I25" s="621" t="e">
        <f>#REF!</f>
        <v>#REF!</v>
      </c>
      <c r="J25" s="619" t="e">
        <f>#REF!</f>
        <v>#REF!</v>
      </c>
      <c r="K25" s="621" t="e">
        <f>#REF!</f>
        <v>#REF!</v>
      </c>
      <c r="L25" s="622" t="e">
        <f>#REF!</f>
        <v>#REF!</v>
      </c>
      <c r="M25" s="622" t="e">
        <f>#REF!</f>
        <v>#REF!</v>
      </c>
      <c r="N25" t="e">
        <f>#REF!</f>
        <v>#REF!</v>
      </c>
      <c r="O25" t="e">
        <f>#REF!</f>
        <v>#REF!</v>
      </c>
      <c r="P25" t="e">
        <f>#REF!</f>
        <v>#REF!</v>
      </c>
      <c r="Q25" s="136" t="e">
        <f>#REF!</f>
        <v>#REF!</v>
      </c>
      <c r="R25" s="136" t="e">
        <f>#REF!</f>
        <v>#REF!</v>
      </c>
      <c r="S25" s="136" t="e">
        <f>#REF!</f>
        <v>#REF!</v>
      </c>
      <c r="T25" s="136" t="e">
        <f>#REF!</f>
        <v>#REF!</v>
      </c>
      <c r="U25" s="136" t="e">
        <f>#REF!</f>
        <v>#REF!</v>
      </c>
      <c r="V25" s="136" t="e">
        <f>#REF!</f>
        <v>#REF!</v>
      </c>
      <c r="W25" s="136" t="e">
        <f>#REF!</f>
        <v>#REF!</v>
      </c>
      <c r="X25" s="136" t="e">
        <f>#REF!</f>
        <v>#REF!</v>
      </c>
      <c r="Y25" s="136" t="e">
        <f>#REF!</f>
        <v>#REF!</v>
      </c>
      <c r="Z25" s="136" t="e">
        <f>#REF!</f>
        <v>#REF!</v>
      </c>
      <c r="AA25" s="136" t="e">
        <f>#REF!</f>
        <v>#REF!</v>
      </c>
      <c r="AB25" s="136" t="e">
        <f>#REF!</f>
        <v>#REF!</v>
      </c>
      <c r="AC25" s="136" t="e">
        <f>#REF!</f>
        <v>#REF!</v>
      </c>
      <c r="AD25" s="136" t="e">
        <f>#REF!</f>
        <v>#REF!</v>
      </c>
      <c r="AE25" s="136" t="e">
        <f>#REF!</f>
        <v>#REF!</v>
      </c>
      <c r="AF25" s="136" t="e">
        <f>#REF!</f>
        <v>#REF!</v>
      </c>
      <c r="AG25" s="136" t="e">
        <f>#REF!</f>
        <v>#REF!</v>
      </c>
      <c r="AH25" s="136" t="e">
        <f>#REF!</f>
        <v>#REF!</v>
      </c>
      <c r="AI25" s="136" t="e">
        <f>#REF!</f>
        <v>#REF!</v>
      </c>
      <c r="AJ25" s="136" t="e">
        <f>#REF!</f>
        <v>#REF!</v>
      </c>
      <c r="AK25" s="136" t="e">
        <f>#REF!</f>
        <v>#REF!</v>
      </c>
      <c r="AL25" s="136"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s="137" t="e">
        <f>#REF!</f>
        <v>#REF!</v>
      </c>
      <c r="BO25" s="137" t="e">
        <f>#REF!</f>
        <v>#REF!</v>
      </c>
      <c r="BP25" s="137" t="e">
        <f>#REF!</f>
        <v>#REF!</v>
      </c>
      <c r="BQ25" s="137" t="e">
        <f>#REF!</f>
        <v>#REF!</v>
      </c>
      <c r="BR25" s="137" t="e">
        <f>#REF!</f>
        <v>#REF!</v>
      </c>
      <c r="BS25" s="137" t="e">
        <f>#REF!</f>
        <v>#REF!</v>
      </c>
      <c r="BT25" s="137" t="e">
        <f>#REF!</f>
        <v>#REF!</v>
      </c>
      <c r="BU25" s="137" t="e">
        <f>#REF!</f>
        <v>#REF!</v>
      </c>
      <c r="BV25" s="137" t="e">
        <f>#REF!</f>
        <v>#REF!</v>
      </c>
      <c r="BW25" s="137" t="e">
        <f>#REF!</f>
        <v>#REF!</v>
      </c>
      <c r="BX25" s="137" t="e">
        <f>#REF!</f>
        <v>#REF!</v>
      </c>
      <c r="BY25" s="137" t="e">
        <f>#REF!</f>
        <v>#REF!</v>
      </c>
      <c r="BZ25" s="137" t="e">
        <f>#REF!</f>
        <v>#REF!</v>
      </c>
      <c r="CA25" s="137" t="e">
        <f>#REF!</f>
        <v>#REF!</v>
      </c>
      <c r="CB25" t="e">
        <f>#REF!</f>
        <v>#REF!</v>
      </c>
      <c r="CC25" t="e">
        <f>#REF!</f>
        <v>#REF!</v>
      </c>
      <c r="CD25" t="e">
        <f>#REF!</f>
        <v>#REF!</v>
      </c>
      <c r="CE25" t="e">
        <f>#REF!</f>
        <v>#REF!</v>
      </c>
      <c r="CF25" t="e">
        <f>#REF!</f>
        <v>#REF!</v>
      </c>
      <c r="CG25" t="e">
        <f>#REF!</f>
        <v>#REF!</v>
      </c>
      <c r="CH25" t="e">
        <f>#REF!</f>
        <v>#REF!</v>
      </c>
      <c r="CI25" t="e">
        <f>#REF!</f>
        <v>#REF!</v>
      </c>
      <c r="CJ25" s="136" t="e">
        <f>#REF!</f>
        <v>#REF!</v>
      </c>
      <c r="CK25" s="136" t="e">
        <f>#REF!</f>
        <v>#REF!</v>
      </c>
      <c r="CL25" s="136" t="e">
        <f>#REF!</f>
        <v>#REF!</v>
      </c>
      <c r="CM25" s="136" t="e">
        <f>#REF!</f>
        <v>#REF!</v>
      </c>
      <c r="CN25" s="136" t="e">
        <f>#REF!</f>
        <v>#REF!</v>
      </c>
      <c r="CO25" s="136" t="e">
        <f>#REF!</f>
        <v>#REF!</v>
      </c>
      <c r="CP25" t="e">
        <f>#REF!</f>
        <v>#REF!</v>
      </c>
      <c r="CQ25" t="e">
        <f>#REF!</f>
        <v>#REF!</v>
      </c>
      <c r="CR25" t="e">
        <f>#REF!</f>
        <v>#REF!</v>
      </c>
      <c r="CS25" t="e">
        <f>#REF!</f>
        <v>#REF!</v>
      </c>
      <c r="CT25" t="e">
        <f>#REF!</f>
        <v>#REF!</v>
      </c>
      <c r="CU25" t="e">
        <f>#REF!</f>
        <v>#REF!</v>
      </c>
      <c r="CV25" t="e">
        <f>#REF!</f>
        <v>#REF!</v>
      </c>
      <c r="CW25" t="e">
        <f>#REF!</f>
        <v>#REF!</v>
      </c>
      <c r="CX25" t="e">
        <f>#REF!</f>
        <v>#REF!</v>
      </c>
      <c r="CY25" t="e">
        <f>#REF!</f>
        <v>#REF!</v>
      </c>
      <c r="CZ25" t="e">
        <f>#REF!</f>
        <v>#REF!</v>
      </c>
      <c r="DA25" t="e">
        <f>#REF!</f>
        <v>#REF!</v>
      </c>
      <c r="DB25" t="e">
        <f>#REF!</f>
        <v>#REF!</v>
      </c>
      <c r="DC25" t="e">
        <f>#REF!</f>
        <v>#REF!</v>
      </c>
      <c r="DD25" t="e">
        <f>#REF!</f>
        <v>#REF!</v>
      </c>
      <c r="DE25" t="e">
        <f>#REF!</f>
        <v>#REF!</v>
      </c>
      <c r="DF25" t="e">
        <f>#REF!</f>
        <v>#REF!</v>
      </c>
      <c r="DG25" t="e">
        <f>#REF!</f>
        <v>#REF!</v>
      </c>
      <c r="DH25" t="e">
        <f>#REF!</f>
        <v>#REF!</v>
      </c>
      <c r="DI25" t="e">
        <f>#REF!</f>
        <v>#REF!</v>
      </c>
      <c r="DJ25" t="e">
        <f>#REF!</f>
        <v>#REF!</v>
      </c>
      <c r="DK25" t="e">
        <f>#REF!</f>
        <v>#REF!</v>
      </c>
      <c r="DL25" t="e">
        <f>#REF!</f>
        <v>#REF!</v>
      </c>
      <c r="DM25" t="e">
        <f>#REF!</f>
        <v>#REF!</v>
      </c>
      <c r="DN25" t="e">
        <f>#REF!</f>
        <v>#REF!</v>
      </c>
      <c r="DO25" t="e">
        <f>#REF!</f>
        <v>#REF!</v>
      </c>
      <c r="DP25" t="e">
        <f>#REF!</f>
        <v>#REF!</v>
      </c>
      <c r="DQ25" t="e">
        <f>#REF!</f>
        <v>#REF!</v>
      </c>
      <c r="DR25" t="e">
        <f>#REF!</f>
        <v>#REF!</v>
      </c>
      <c r="DS25" t="e">
        <f>#REF!</f>
        <v>#REF!</v>
      </c>
      <c r="DT25" t="e">
        <f>#REF!</f>
        <v>#REF!</v>
      </c>
      <c r="DU25" t="e">
        <f>#REF!</f>
        <v>#REF!</v>
      </c>
      <c r="DV25" t="e">
        <f>#REF!</f>
        <v>#REF!</v>
      </c>
      <c r="DW25" t="e">
        <f>#REF!</f>
        <v>#REF!</v>
      </c>
      <c r="DX25" t="e">
        <f>#REF!</f>
        <v>#REF!</v>
      </c>
      <c r="DY25" t="e">
        <f>#REF!</f>
        <v>#REF!</v>
      </c>
      <c r="DZ25" t="e">
        <f>#REF!</f>
        <v>#REF!</v>
      </c>
      <c r="EA25" t="e">
        <f>#REF!</f>
        <v>#REF!</v>
      </c>
      <c r="EB25" t="e">
        <f>#REF!</f>
        <v>#REF!</v>
      </c>
      <c r="EC25" t="e">
        <f>#REF!</f>
        <v>#REF!</v>
      </c>
      <c r="ED25" t="e">
        <f>#REF!</f>
        <v>#REF!</v>
      </c>
      <c r="EE25" t="e">
        <f>#REF!</f>
        <v>#REF!</v>
      </c>
      <c r="EF25" t="e">
        <f>#REF!</f>
        <v>#REF!</v>
      </c>
      <c r="EG25" t="e">
        <f>#REF!</f>
        <v>#REF!</v>
      </c>
      <c r="EH25" t="e">
        <f>#REF!</f>
        <v>#REF!</v>
      </c>
      <c r="EI25" t="e">
        <f>#REF!</f>
        <v>#REF!</v>
      </c>
      <c r="EJ25" t="e">
        <f>#REF!</f>
        <v>#REF!</v>
      </c>
      <c r="EK25" t="e">
        <f>#REF!</f>
        <v>#REF!</v>
      </c>
      <c r="EL25" t="e">
        <f>#REF!</f>
        <v>#REF!</v>
      </c>
      <c r="EM25" t="e">
        <f>#REF!</f>
        <v>#REF!</v>
      </c>
      <c r="EN25" t="e">
        <f>#REF!</f>
        <v>#REF!</v>
      </c>
      <c r="EO25" t="e">
        <f>#REF!</f>
        <v>#REF!</v>
      </c>
      <c r="EP25" t="e">
        <f>#REF!</f>
        <v>#REF!</v>
      </c>
      <c r="EQ25" t="e">
        <f>#REF!</f>
        <v>#REF!</v>
      </c>
      <c r="ER25" t="e">
        <f>#REF!</f>
        <v>#REF!</v>
      </c>
      <c r="ES25" t="e">
        <f>#REF!</f>
        <v>#REF!</v>
      </c>
      <c r="ET25" t="e">
        <f>#REF!</f>
        <v>#REF!</v>
      </c>
      <c r="EU25" t="e">
        <f>#REF!</f>
        <v>#REF!</v>
      </c>
      <c r="EV25" t="e">
        <f>#REF!</f>
        <v>#REF!</v>
      </c>
      <c r="EW25" t="e">
        <f>#REF!</f>
        <v>#REF!</v>
      </c>
      <c r="EX25" t="e">
        <f>#REF!</f>
        <v>#REF!</v>
      </c>
      <c r="EY25" t="e">
        <f>#REF!</f>
        <v>#REF!</v>
      </c>
      <c r="EZ25" t="e">
        <f>#REF!</f>
        <v>#REF!</v>
      </c>
      <c r="FA25" t="e">
        <f>#REF!</f>
        <v>#REF!</v>
      </c>
      <c r="FB25" t="e">
        <f>#REF!</f>
        <v>#REF!</v>
      </c>
      <c r="FC25" t="e">
        <f>#REF!</f>
        <v>#REF!</v>
      </c>
      <c r="FD25" t="e">
        <f>#REF!</f>
        <v>#REF!</v>
      </c>
      <c r="FE25" t="e">
        <f>#REF!</f>
        <v>#REF!</v>
      </c>
      <c r="FF25" t="e">
        <f>#REF!</f>
        <v>#REF!</v>
      </c>
      <c r="FG25" t="e">
        <f>#REF!</f>
        <v>#REF!</v>
      </c>
      <c r="FH25" t="e">
        <f>#REF!</f>
        <v>#REF!</v>
      </c>
      <c r="FI25" t="e">
        <f>#REF!</f>
        <v>#REF!</v>
      </c>
      <c r="FJ25" t="e">
        <f>#REF!</f>
        <v>#REF!</v>
      </c>
      <c r="FK25" t="e">
        <f>#REF!</f>
        <v>#REF!</v>
      </c>
      <c r="FL25" t="e">
        <f>#REF!</f>
        <v>#REF!</v>
      </c>
      <c r="FM25" t="e">
        <f>#REF!</f>
        <v>#REF!</v>
      </c>
      <c r="FN25" t="e">
        <f>#REF!</f>
        <v>#REF!</v>
      </c>
    </row>
    <row r="26" spans="1:170" ht="15" x14ac:dyDescent="0.25">
      <c r="A26" s="619">
        <v>1</v>
      </c>
      <c r="B26" s="133" t="e">
        <f>RIGHT(#REF!,LEN(#REF!)-(FIND("Standards",#REF!,1)+9))</f>
        <v>#REF!</v>
      </c>
      <c r="C26" s="620" t="e">
        <f>#REF!</f>
        <v>#REF!</v>
      </c>
      <c r="D26" s="620">
        <v>72686</v>
      </c>
      <c r="E26" s="621" t="e">
        <f>#REF!</f>
        <v>#REF!</v>
      </c>
      <c r="F26" s="621" t="e">
        <f>#REF!</f>
        <v>#REF!</v>
      </c>
      <c r="G26" s="619" t="e">
        <f>#REF!</f>
        <v>#REF!</v>
      </c>
      <c r="H26" s="619" t="e">
        <f>#REF!</f>
        <v>#REF!</v>
      </c>
      <c r="I26" s="621" t="e">
        <f>#REF!</f>
        <v>#REF!</v>
      </c>
      <c r="J26" s="619" t="e">
        <f>#REF!</f>
        <v>#REF!</v>
      </c>
      <c r="K26" s="621" t="e">
        <f>#REF!</f>
        <v>#REF!</v>
      </c>
      <c r="L26" s="622" t="e">
        <f>#REF!</f>
        <v>#REF!</v>
      </c>
      <c r="M26" s="622" t="e">
        <f>#REF!</f>
        <v>#REF!</v>
      </c>
      <c r="N26" t="e">
        <f>#REF!</f>
        <v>#REF!</v>
      </c>
      <c r="O26" t="e">
        <f>#REF!</f>
        <v>#REF!</v>
      </c>
      <c r="P26" t="e">
        <f>#REF!</f>
        <v>#REF!</v>
      </c>
      <c r="Q26" s="136" t="e">
        <f>#REF!</f>
        <v>#REF!</v>
      </c>
      <c r="R26" s="136" t="e">
        <f>#REF!</f>
        <v>#REF!</v>
      </c>
      <c r="S26" s="136" t="e">
        <f>#REF!</f>
        <v>#REF!</v>
      </c>
      <c r="T26" s="136" t="e">
        <f>#REF!</f>
        <v>#REF!</v>
      </c>
      <c r="U26" s="136" t="e">
        <f>#REF!</f>
        <v>#REF!</v>
      </c>
      <c r="V26" s="136" t="e">
        <f>#REF!</f>
        <v>#REF!</v>
      </c>
      <c r="W26" s="136" t="e">
        <f>#REF!</f>
        <v>#REF!</v>
      </c>
      <c r="X26" s="136" t="e">
        <f>#REF!</f>
        <v>#REF!</v>
      </c>
      <c r="Y26" s="136" t="e">
        <f>#REF!</f>
        <v>#REF!</v>
      </c>
      <c r="Z26" s="136" t="e">
        <f>#REF!</f>
        <v>#REF!</v>
      </c>
      <c r="AA26" s="136" t="e">
        <f>#REF!</f>
        <v>#REF!</v>
      </c>
      <c r="AB26" s="136" t="e">
        <f>#REF!</f>
        <v>#REF!</v>
      </c>
      <c r="AC26" s="136" t="e">
        <f>#REF!</f>
        <v>#REF!</v>
      </c>
      <c r="AD26" s="136" t="e">
        <f>#REF!</f>
        <v>#REF!</v>
      </c>
      <c r="AE26" s="136" t="e">
        <f>#REF!</f>
        <v>#REF!</v>
      </c>
      <c r="AF26" s="136" t="e">
        <f>#REF!</f>
        <v>#REF!</v>
      </c>
      <c r="AG26" s="136" t="e">
        <f>#REF!</f>
        <v>#REF!</v>
      </c>
      <c r="AH26" s="136" t="e">
        <f>#REF!</f>
        <v>#REF!</v>
      </c>
      <c r="AI26" s="136" t="e">
        <f>#REF!</f>
        <v>#REF!</v>
      </c>
      <c r="AJ26" s="136" t="e">
        <f>#REF!</f>
        <v>#REF!</v>
      </c>
      <c r="AK26" s="136" t="e">
        <f>#REF!</f>
        <v>#REF!</v>
      </c>
      <c r="AL26" s="13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s="137" t="e">
        <f>#REF!</f>
        <v>#REF!</v>
      </c>
      <c r="BO26" s="137" t="e">
        <f>#REF!</f>
        <v>#REF!</v>
      </c>
      <c r="BP26" s="137" t="e">
        <f>#REF!</f>
        <v>#REF!</v>
      </c>
      <c r="BQ26" s="137" t="e">
        <f>#REF!</f>
        <v>#REF!</v>
      </c>
      <c r="BR26" s="137" t="e">
        <f>#REF!</f>
        <v>#REF!</v>
      </c>
      <c r="BS26" s="137" t="e">
        <f>#REF!</f>
        <v>#REF!</v>
      </c>
      <c r="BT26" s="137" t="e">
        <f>#REF!</f>
        <v>#REF!</v>
      </c>
      <c r="BU26" s="137" t="e">
        <f>#REF!</f>
        <v>#REF!</v>
      </c>
      <c r="BV26" s="137" t="e">
        <f>#REF!</f>
        <v>#REF!</v>
      </c>
      <c r="BW26" s="137" t="e">
        <f>#REF!</f>
        <v>#REF!</v>
      </c>
      <c r="BX26" s="137" t="e">
        <f>#REF!</f>
        <v>#REF!</v>
      </c>
      <c r="BY26" s="137" t="e">
        <f>#REF!</f>
        <v>#REF!</v>
      </c>
      <c r="BZ26" s="137" t="e">
        <f>#REF!</f>
        <v>#REF!</v>
      </c>
      <c r="CA26" s="137" t="e">
        <f>#REF!</f>
        <v>#REF!</v>
      </c>
      <c r="CB26" t="e">
        <f>#REF!</f>
        <v>#REF!</v>
      </c>
      <c r="CC26" t="e">
        <f>#REF!</f>
        <v>#REF!</v>
      </c>
      <c r="CD26" t="e">
        <f>#REF!</f>
        <v>#REF!</v>
      </c>
      <c r="CE26" t="e">
        <f>#REF!</f>
        <v>#REF!</v>
      </c>
      <c r="CF26" t="e">
        <f>#REF!</f>
        <v>#REF!</v>
      </c>
      <c r="CG26" t="e">
        <f>#REF!</f>
        <v>#REF!</v>
      </c>
      <c r="CH26" t="e">
        <f>#REF!</f>
        <v>#REF!</v>
      </c>
      <c r="CI26" t="e">
        <f>#REF!</f>
        <v>#REF!</v>
      </c>
      <c r="CJ26" s="136" t="e">
        <f>#REF!</f>
        <v>#REF!</v>
      </c>
      <c r="CK26" s="136" t="e">
        <f>#REF!</f>
        <v>#REF!</v>
      </c>
      <c r="CL26" s="136" t="e">
        <f>#REF!</f>
        <v>#REF!</v>
      </c>
      <c r="CM26" s="136" t="e">
        <f>#REF!</f>
        <v>#REF!</v>
      </c>
      <c r="CN26" s="136" t="e">
        <f>#REF!</f>
        <v>#REF!</v>
      </c>
      <c r="CO26" s="136" t="e">
        <f>#REF!</f>
        <v>#REF!</v>
      </c>
      <c r="CP26" t="e">
        <f>#REF!</f>
        <v>#REF!</v>
      </c>
      <c r="CQ26" t="e">
        <f>#REF!</f>
        <v>#REF!</v>
      </c>
      <c r="CR26" t="e">
        <f>#REF!</f>
        <v>#REF!</v>
      </c>
      <c r="CS26" t="e">
        <f>#REF!</f>
        <v>#REF!</v>
      </c>
      <c r="CT26" t="e">
        <f>#REF!</f>
        <v>#REF!</v>
      </c>
      <c r="CU26" t="e">
        <f>#REF!</f>
        <v>#REF!</v>
      </c>
      <c r="CV26" t="e">
        <f>#REF!</f>
        <v>#REF!</v>
      </c>
      <c r="CW26" t="e">
        <f>#REF!</f>
        <v>#REF!</v>
      </c>
      <c r="CX26" t="e">
        <f>#REF!</f>
        <v>#REF!</v>
      </c>
      <c r="CY26" t="e">
        <f>#REF!</f>
        <v>#REF!</v>
      </c>
      <c r="CZ26" t="e">
        <f>#REF!</f>
        <v>#REF!</v>
      </c>
      <c r="DA26" t="e">
        <f>#REF!</f>
        <v>#REF!</v>
      </c>
      <c r="DB26" t="e">
        <f>#REF!</f>
        <v>#REF!</v>
      </c>
      <c r="DC26" t="e">
        <f>#REF!</f>
        <v>#REF!</v>
      </c>
      <c r="DD26" t="e">
        <f>#REF!</f>
        <v>#REF!</v>
      </c>
      <c r="DE26" t="e">
        <f>#REF!</f>
        <v>#REF!</v>
      </c>
      <c r="DF26" t="e">
        <f>#REF!</f>
        <v>#REF!</v>
      </c>
      <c r="DG26" t="e">
        <f>#REF!</f>
        <v>#REF!</v>
      </c>
      <c r="DH26" t="e">
        <f>#REF!</f>
        <v>#REF!</v>
      </c>
      <c r="DI26" t="e">
        <f>#REF!</f>
        <v>#REF!</v>
      </c>
      <c r="DJ26" t="e">
        <f>#REF!</f>
        <v>#REF!</v>
      </c>
      <c r="DK26" t="e">
        <f>#REF!</f>
        <v>#REF!</v>
      </c>
      <c r="DL26" t="e">
        <f>#REF!</f>
        <v>#REF!</v>
      </c>
      <c r="DM26" t="e">
        <f>#REF!</f>
        <v>#REF!</v>
      </c>
      <c r="DN26" t="e">
        <f>#REF!</f>
        <v>#REF!</v>
      </c>
      <c r="DO26" t="e">
        <f>#REF!</f>
        <v>#REF!</v>
      </c>
      <c r="DP26" t="e">
        <f>#REF!</f>
        <v>#REF!</v>
      </c>
      <c r="DQ26" t="e">
        <f>#REF!</f>
        <v>#REF!</v>
      </c>
      <c r="DR26" t="e">
        <f>#REF!</f>
        <v>#REF!</v>
      </c>
      <c r="DS26" t="e">
        <f>#REF!</f>
        <v>#REF!</v>
      </c>
      <c r="DT26" t="e">
        <f>#REF!</f>
        <v>#REF!</v>
      </c>
      <c r="DU26" t="e">
        <f>#REF!</f>
        <v>#REF!</v>
      </c>
      <c r="DV26" t="e">
        <f>#REF!</f>
        <v>#REF!</v>
      </c>
      <c r="DW26" t="e">
        <f>#REF!</f>
        <v>#REF!</v>
      </c>
      <c r="DX26" t="e">
        <f>#REF!</f>
        <v>#REF!</v>
      </c>
      <c r="DY26" t="e">
        <f>#REF!</f>
        <v>#REF!</v>
      </c>
      <c r="DZ26" t="e">
        <f>#REF!</f>
        <v>#REF!</v>
      </c>
      <c r="EA26" t="e">
        <f>#REF!</f>
        <v>#REF!</v>
      </c>
      <c r="EB26" t="e">
        <f>#REF!</f>
        <v>#REF!</v>
      </c>
      <c r="EC26" t="e">
        <f>#REF!</f>
        <v>#REF!</v>
      </c>
      <c r="ED26" t="e">
        <f>#REF!</f>
        <v>#REF!</v>
      </c>
      <c r="EE26" t="e">
        <f>#REF!</f>
        <v>#REF!</v>
      </c>
      <c r="EF26" t="e">
        <f>#REF!</f>
        <v>#REF!</v>
      </c>
      <c r="EG26" t="e">
        <f>#REF!</f>
        <v>#REF!</v>
      </c>
      <c r="EH26" t="e">
        <f>#REF!</f>
        <v>#REF!</v>
      </c>
      <c r="EI26" t="e">
        <f>#REF!</f>
        <v>#REF!</v>
      </c>
      <c r="EJ26" t="e">
        <f>#REF!</f>
        <v>#REF!</v>
      </c>
      <c r="EK26" t="e">
        <f>#REF!</f>
        <v>#REF!</v>
      </c>
      <c r="EL26" t="e">
        <f>#REF!</f>
        <v>#REF!</v>
      </c>
      <c r="EM26" t="e">
        <f>#REF!</f>
        <v>#REF!</v>
      </c>
      <c r="EN26" t="e">
        <f>#REF!</f>
        <v>#REF!</v>
      </c>
      <c r="EO26" t="e">
        <f>#REF!</f>
        <v>#REF!</v>
      </c>
      <c r="EP26" t="e">
        <f>#REF!</f>
        <v>#REF!</v>
      </c>
      <c r="EQ26" t="e">
        <f>#REF!</f>
        <v>#REF!</v>
      </c>
      <c r="ER26" t="e">
        <f>#REF!</f>
        <v>#REF!</v>
      </c>
      <c r="ES26" t="e">
        <f>#REF!</f>
        <v>#REF!</v>
      </c>
      <c r="ET26" t="e">
        <f>#REF!</f>
        <v>#REF!</v>
      </c>
      <c r="EU26" t="e">
        <f>#REF!</f>
        <v>#REF!</v>
      </c>
      <c r="EV26" t="e">
        <f>#REF!</f>
        <v>#REF!</v>
      </c>
      <c r="EW26" t="e">
        <f>#REF!</f>
        <v>#REF!</v>
      </c>
      <c r="EX26" t="e">
        <f>#REF!</f>
        <v>#REF!</v>
      </c>
      <c r="EY26" t="e">
        <f>#REF!</f>
        <v>#REF!</v>
      </c>
      <c r="EZ26" t="e">
        <f>#REF!</f>
        <v>#REF!</v>
      </c>
      <c r="FA26" t="e">
        <f>#REF!</f>
        <v>#REF!</v>
      </c>
      <c r="FB26" t="e">
        <f>#REF!</f>
        <v>#REF!</v>
      </c>
      <c r="FC26" t="e">
        <f>#REF!</f>
        <v>#REF!</v>
      </c>
      <c r="FD26" t="e">
        <f>#REF!</f>
        <v>#REF!</v>
      </c>
      <c r="FE26" t="e">
        <f>#REF!</f>
        <v>#REF!</v>
      </c>
      <c r="FF26" t="e">
        <f>#REF!</f>
        <v>#REF!</v>
      </c>
      <c r="FG26" t="e">
        <f>#REF!</f>
        <v>#REF!</v>
      </c>
      <c r="FH26" t="e">
        <f>#REF!</f>
        <v>#REF!</v>
      </c>
      <c r="FI26" t="e">
        <f>#REF!</f>
        <v>#REF!</v>
      </c>
      <c r="FJ26" t="e">
        <f>#REF!</f>
        <v>#REF!</v>
      </c>
      <c r="FK26" t="e">
        <f>#REF!</f>
        <v>#REF!</v>
      </c>
      <c r="FL26" t="e">
        <f>#REF!</f>
        <v>#REF!</v>
      </c>
      <c r="FM26" t="e">
        <f>#REF!</f>
        <v>#REF!</v>
      </c>
      <c r="FN26" t="e">
        <f>#REF!</f>
        <v>#REF!</v>
      </c>
    </row>
    <row r="27" spans="1:170" ht="15" x14ac:dyDescent="0.25">
      <c r="A27" s="619">
        <v>1</v>
      </c>
      <c r="B27" s="133" t="e">
        <f>RIGHT(#REF!,LEN(#REF!)-(FIND("Standards",#REF!,1)+9))</f>
        <v>#REF!</v>
      </c>
      <c r="C27" s="620" t="e">
        <f>#REF!</f>
        <v>#REF!</v>
      </c>
      <c r="D27" s="620">
        <v>72686</v>
      </c>
      <c r="E27" s="621" t="e">
        <f>#REF!</f>
        <v>#REF!</v>
      </c>
      <c r="F27" s="621" t="e">
        <f>#REF!</f>
        <v>#REF!</v>
      </c>
      <c r="G27" s="619" t="e">
        <f>#REF!</f>
        <v>#REF!</v>
      </c>
      <c r="H27" s="619" t="e">
        <f>#REF!</f>
        <v>#REF!</v>
      </c>
      <c r="I27" s="621" t="e">
        <f>#REF!</f>
        <v>#REF!</v>
      </c>
      <c r="J27" s="619" t="e">
        <f>#REF!</f>
        <v>#REF!</v>
      </c>
      <c r="K27" s="621" t="e">
        <f>#REF!</f>
        <v>#REF!</v>
      </c>
      <c r="L27" s="622" t="e">
        <f>#REF!</f>
        <v>#REF!</v>
      </c>
      <c r="M27" s="622" t="e">
        <f>#REF!</f>
        <v>#REF!</v>
      </c>
      <c r="N27" t="e">
        <f>#REF!</f>
        <v>#REF!</v>
      </c>
      <c r="O27" t="e">
        <f>#REF!</f>
        <v>#REF!</v>
      </c>
      <c r="P27" t="e">
        <f>#REF!</f>
        <v>#REF!</v>
      </c>
      <c r="Q27" s="136" t="e">
        <f>#REF!</f>
        <v>#REF!</v>
      </c>
      <c r="R27" s="136" t="e">
        <f>#REF!</f>
        <v>#REF!</v>
      </c>
      <c r="S27" s="136" t="e">
        <f>#REF!</f>
        <v>#REF!</v>
      </c>
      <c r="T27" s="136" t="e">
        <f>#REF!</f>
        <v>#REF!</v>
      </c>
      <c r="U27" s="136" t="e">
        <f>#REF!</f>
        <v>#REF!</v>
      </c>
      <c r="V27" s="136" t="e">
        <f>#REF!</f>
        <v>#REF!</v>
      </c>
      <c r="W27" s="136" t="e">
        <f>#REF!</f>
        <v>#REF!</v>
      </c>
      <c r="X27" s="136" t="e">
        <f>#REF!</f>
        <v>#REF!</v>
      </c>
      <c r="Y27" s="136" t="e">
        <f>#REF!</f>
        <v>#REF!</v>
      </c>
      <c r="Z27" s="136" t="e">
        <f>#REF!</f>
        <v>#REF!</v>
      </c>
      <c r="AA27" s="136" t="e">
        <f>#REF!</f>
        <v>#REF!</v>
      </c>
      <c r="AB27" s="136" t="e">
        <f>#REF!</f>
        <v>#REF!</v>
      </c>
      <c r="AC27" s="136" t="e">
        <f>#REF!</f>
        <v>#REF!</v>
      </c>
      <c r="AD27" s="136" t="e">
        <f>#REF!</f>
        <v>#REF!</v>
      </c>
      <c r="AE27" s="136" t="e">
        <f>#REF!</f>
        <v>#REF!</v>
      </c>
      <c r="AF27" s="136" t="e">
        <f>#REF!</f>
        <v>#REF!</v>
      </c>
      <c r="AG27" s="136" t="e">
        <f>#REF!</f>
        <v>#REF!</v>
      </c>
      <c r="AH27" s="136" t="e">
        <f>#REF!</f>
        <v>#REF!</v>
      </c>
      <c r="AI27" s="136" t="e">
        <f>#REF!</f>
        <v>#REF!</v>
      </c>
      <c r="AJ27" s="136" t="e">
        <f>#REF!</f>
        <v>#REF!</v>
      </c>
      <c r="AK27" s="136" t="e">
        <f>#REF!</f>
        <v>#REF!</v>
      </c>
      <c r="AL27" s="136"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s="137" t="e">
        <f>#REF!</f>
        <v>#REF!</v>
      </c>
      <c r="BO27" s="137" t="e">
        <f>#REF!</f>
        <v>#REF!</v>
      </c>
      <c r="BP27" s="137" t="e">
        <f>#REF!</f>
        <v>#REF!</v>
      </c>
      <c r="BQ27" s="137" t="e">
        <f>#REF!</f>
        <v>#REF!</v>
      </c>
      <c r="BR27" s="137" t="e">
        <f>#REF!</f>
        <v>#REF!</v>
      </c>
      <c r="BS27" s="137" t="e">
        <f>#REF!</f>
        <v>#REF!</v>
      </c>
      <c r="BT27" s="137" t="e">
        <f>#REF!</f>
        <v>#REF!</v>
      </c>
      <c r="BU27" s="137" t="e">
        <f>#REF!</f>
        <v>#REF!</v>
      </c>
      <c r="BV27" s="137" t="e">
        <f>#REF!</f>
        <v>#REF!</v>
      </c>
      <c r="BW27" s="137" t="e">
        <f>#REF!</f>
        <v>#REF!</v>
      </c>
      <c r="BX27" s="137" t="e">
        <f>#REF!</f>
        <v>#REF!</v>
      </c>
      <c r="BY27" s="137" t="e">
        <f>#REF!</f>
        <v>#REF!</v>
      </c>
      <c r="BZ27" s="137" t="e">
        <f>#REF!</f>
        <v>#REF!</v>
      </c>
      <c r="CA27" s="137" t="e">
        <f>#REF!</f>
        <v>#REF!</v>
      </c>
      <c r="CB27" t="e">
        <f>#REF!</f>
        <v>#REF!</v>
      </c>
      <c r="CC27" t="e">
        <f>#REF!</f>
        <v>#REF!</v>
      </c>
      <c r="CD27" t="e">
        <f>#REF!</f>
        <v>#REF!</v>
      </c>
      <c r="CE27" t="e">
        <f>#REF!</f>
        <v>#REF!</v>
      </c>
      <c r="CF27" t="e">
        <f>#REF!</f>
        <v>#REF!</v>
      </c>
      <c r="CG27" t="e">
        <f>#REF!</f>
        <v>#REF!</v>
      </c>
      <c r="CH27" t="e">
        <f>#REF!</f>
        <v>#REF!</v>
      </c>
      <c r="CI27" t="e">
        <f>#REF!</f>
        <v>#REF!</v>
      </c>
      <c r="CJ27" s="136" t="e">
        <f>#REF!</f>
        <v>#REF!</v>
      </c>
      <c r="CK27" s="136" t="e">
        <f>#REF!</f>
        <v>#REF!</v>
      </c>
      <c r="CL27" s="136" t="e">
        <f>#REF!</f>
        <v>#REF!</v>
      </c>
      <c r="CM27" s="136" t="e">
        <f>#REF!</f>
        <v>#REF!</v>
      </c>
      <c r="CN27" s="136" t="e">
        <f>#REF!</f>
        <v>#REF!</v>
      </c>
      <c r="CO27" s="136" t="e">
        <f>#REF!</f>
        <v>#REF!</v>
      </c>
      <c r="CP27" t="e">
        <f>#REF!</f>
        <v>#REF!</v>
      </c>
      <c r="CQ27" t="e">
        <f>#REF!</f>
        <v>#REF!</v>
      </c>
      <c r="CR27" t="e">
        <f>#REF!</f>
        <v>#REF!</v>
      </c>
      <c r="CS27" t="e">
        <f>#REF!</f>
        <v>#REF!</v>
      </c>
      <c r="CT27" t="e">
        <f>#REF!</f>
        <v>#REF!</v>
      </c>
      <c r="CU27" t="e">
        <f>#REF!</f>
        <v>#REF!</v>
      </c>
      <c r="CV27" t="e">
        <f>#REF!</f>
        <v>#REF!</v>
      </c>
      <c r="CW27" t="e">
        <f>#REF!</f>
        <v>#REF!</v>
      </c>
      <c r="CX27" t="e">
        <f>#REF!</f>
        <v>#REF!</v>
      </c>
      <c r="CY27" t="e">
        <f>#REF!</f>
        <v>#REF!</v>
      </c>
      <c r="CZ27" t="e">
        <f>#REF!</f>
        <v>#REF!</v>
      </c>
      <c r="DA27" t="e">
        <f>#REF!</f>
        <v>#REF!</v>
      </c>
      <c r="DB27" t="e">
        <f>#REF!</f>
        <v>#REF!</v>
      </c>
      <c r="DC27" t="e">
        <f>#REF!</f>
        <v>#REF!</v>
      </c>
      <c r="DD27" t="e">
        <f>#REF!</f>
        <v>#REF!</v>
      </c>
      <c r="DE27" t="e">
        <f>#REF!</f>
        <v>#REF!</v>
      </c>
      <c r="DF27" t="e">
        <f>#REF!</f>
        <v>#REF!</v>
      </c>
      <c r="DG27" t="e">
        <f>#REF!</f>
        <v>#REF!</v>
      </c>
      <c r="DH27" t="e">
        <f>#REF!</f>
        <v>#REF!</v>
      </c>
      <c r="DI27" t="e">
        <f>#REF!</f>
        <v>#REF!</v>
      </c>
      <c r="DJ27" t="e">
        <f>#REF!</f>
        <v>#REF!</v>
      </c>
      <c r="DK27" t="e">
        <f>#REF!</f>
        <v>#REF!</v>
      </c>
      <c r="DL27" t="e">
        <f>#REF!</f>
        <v>#REF!</v>
      </c>
      <c r="DM27" t="e">
        <f>#REF!</f>
        <v>#REF!</v>
      </c>
      <c r="DN27" t="e">
        <f>#REF!</f>
        <v>#REF!</v>
      </c>
      <c r="DO27" t="e">
        <f>#REF!</f>
        <v>#REF!</v>
      </c>
      <c r="DP27" t="e">
        <f>#REF!</f>
        <v>#REF!</v>
      </c>
      <c r="DQ27" t="e">
        <f>#REF!</f>
        <v>#REF!</v>
      </c>
      <c r="DR27" t="e">
        <f>#REF!</f>
        <v>#REF!</v>
      </c>
      <c r="DS27" t="e">
        <f>#REF!</f>
        <v>#REF!</v>
      </c>
      <c r="DT27" t="e">
        <f>#REF!</f>
        <v>#REF!</v>
      </c>
      <c r="DU27" t="e">
        <f>#REF!</f>
        <v>#REF!</v>
      </c>
      <c r="DV27" t="e">
        <f>#REF!</f>
        <v>#REF!</v>
      </c>
      <c r="DW27" t="e">
        <f>#REF!</f>
        <v>#REF!</v>
      </c>
      <c r="DX27" t="e">
        <f>#REF!</f>
        <v>#REF!</v>
      </c>
      <c r="DY27" t="e">
        <f>#REF!</f>
        <v>#REF!</v>
      </c>
      <c r="DZ27" t="e">
        <f>#REF!</f>
        <v>#REF!</v>
      </c>
      <c r="EA27" t="e">
        <f>#REF!</f>
        <v>#REF!</v>
      </c>
      <c r="EB27" t="e">
        <f>#REF!</f>
        <v>#REF!</v>
      </c>
      <c r="EC27" t="e">
        <f>#REF!</f>
        <v>#REF!</v>
      </c>
      <c r="ED27" t="e">
        <f>#REF!</f>
        <v>#REF!</v>
      </c>
      <c r="EE27" t="e">
        <f>#REF!</f>
        <v>#REF!</v>
      </c>
      <c r="EF27" t="e">
        <f>#REF!</f>
        <v>#REF!</v>
      </c>
      <c r="EG27" t="e">
        <f>#REF!</f>
        <v>#REF!</v>
      </c>
      <c r="EH27" t="e">
        <f>#REF!</f>
        <v>#REF!</v>
      </c>
      <c r="EI27" t="e">
        <f>#REF!</f>
        <v>#REF!</v>
      </c>
      <c r="EJ27" t="e">
        <f>#REF!</f>
        <v>#REF!</v>
      </c>
      <c r="EK27" t="e">
        <f>#REF!</f>
        <v>#REF!</v>
      </c>
      <c r="EL27" t="e">
        <f>#REF!</f>
        <v>#REF!</v>
      </c>
      <c r="EM27" t="e">
        <f>#REF!</f>
        <v>#REF!</v>
      </c>
      <c r="EN27" t="e">
        <f>#REF!</f>
        <v>#REF!</v>
      </c>
      <c r="EO27" t="e">
        <f>#REF!</f>
        <v>#REF!</v>
      </c>
      <c r="EP27" t="e">
        <f>#REF!</f>
        <v>#REF!</v>
      </c>
      <c r="EQ27" t="e">
        <f>#REF!</f>
        <v>#REF!</v>
      </c>
      <c r="ER27" t="e">
        <f>#REF!</f>
        <v>#REF!</v>
      </c>
      <c r="ES27" t="e">
        <f>#REF!</f>
        <v>#REF!</v>
      </c>
      <c r="ET27" t="e">
        <f>#REF!</f>
        <v>#REF!</v>
      </c>
      <c r="EU27" t="e">
        <f>#REF!</f>
        <v>#REF!</v>
      </c>
      <c r="EV27" t="e">
        <f>#REF!</f>
        <v>#REF!</v>
      </c>
      <c r="EW27" t="e">
        <f>#REF!</f>
        <v>#REF!</v>
      </c>
      <c r="EX27" t="e">
        <f>#REF!</f>
        <v>#REF!</v>
      </c>
      <c r="EY27" t="e">
        <f>#REF!</f>
        <v>#REF!</v>
      </c>
      <c r="EZ27" t="e">
        <f>#REF!</f>
        <v>#REF!</v>
      </c>
      <c r="FA27" t="e">
        <f>#REF!</f>
        <v>#REF!</v>
      </c>
      <c r="FB27" t="e">
        <f>#REF!</f>
        <v>#REF!</v>
      </c>
      <c r="FC27" t="e">
        <f>#REF!</f>
        <v>#REF!</v>
      </c>
      <c r="FD27" t="e">
        <f>#REF!</f>
        <v>#REF!</v>
      </c>
      <c r="FE27" t="e">
        <f>#REF!</f>
        <v>#REF!</v>
      </c>
      <c r="FF27" t="e">
        <f>#REF!</f>
        <v>#REF!</v>
      </c>
      <c r="FG27" t="e">
        <f>#REF!</f>
        <v>#REF!</v>
      </c>
      <c r="FH27" t="e">
        <f>#REF!</f>
        <v>#REF!</v>
      </c>
      <c r="FI27" t="e">
        <f>#REF!</f>
        <v>#REF!</v>
      </c>
      <c r="FJ27" t="e">
        <f>#REF!</f>
        <v>#REF!</v>
      </c>
      <c r="FK27" t="e">
        <f>#REF!</f>
        <v>#REF!</v>
      </c>
      <c r="FL27" t="e">
        <f>#REF!</f>
        <v>#REF!</v>
      </c>
      <c r="FM27" t="e">
        <f>#REF!</f>
        <v>#REF!</v>
      </c>
      <c r="FN27" t="e">
        <f>#REF!</f>
        <v>#REF!</v>
      </c>
    </row>
    <row r="28" spans="1:170" ht="15" x14ac:dyDescent="0.25">
      <c r="A28" s="619">
        <v>1</v>
      </c>
      <c r="B28" s="133" t="e">
        <f>RIGHT(#REF!,LEN(#REF!)-(FIND("Standards",#REF!,1)+9))</f>
        <v>#REF!</v>
      </c>
      <c r="C28" s="620" t="e">
        <f>#REF!</f>
        <v>#REF!</v>
      </c>
      <c r="D28" s="620">
        <v>72686</v>
      </c>
      <c r="E28" s="621" t="e">
        <f>#REF!</f>
        <v>#REF!</v>
      </c>
      <c r="F28" s="621" t="e">
        <f>#REF!</f>
        <v>#REF!</v>
      </c>
      <c r="G28" s="619" t="e">
        <f>#REF!</f>
        <v>#REF!</v>
      </c>
      <c r="H28" s="619" t="e">
        <f>#REF!</f>
        <v>#REF!</v>
      </c>
      <c r="I28" s="621" t="e">
        <f>#REF!</f>
        <v>#REF!</v>
      </c>
      <c r="J28" s="619" t="e">
        <f>#REF!</f>
        <v>#REF!</v>
      </c>
      <c r="K28" s="621" t="e">
        <f>#REF!</f>
        <v>#REF!</v>
      </c>
      <c r="L28" s="622" t="e">
        <f>#REF!</f>
        <v>#REF!</v>
      </c>
      <c r="M28" s="622" t="e">
        <f>#REF!</f>
        <v>#REF!</v>
      </c>
      <c r="N28" t="e">
        <f>#REF!</f>
        <v>#REF!</v>
      </c>
      <c r="O28" t="e">
        <f>#REF!</f>
        <v>#REF!</v>
      </c>
      <c r="P28" t="e">
        <f>#REF!</f>
        <v>#REF!</v>
      </c>
      <c r="Q28" s="136" t="e">
        <f>#REF!</f>
        <v>#REF!</v>
      </c>
      <c r="R28" s="136" t="e">
        <f>#REF!</f>
        <v>#REF!</v>
      </c>
      <c r="S28" s="136" t="e">
        <f>#REF!</f>
        <v>#REF!</v>
      </c>
      <c r="T28" s="136" t="e">
        <f>#REF!</f>
        <v>#REF!</v>
      </c>
      <c r="U28" s="136" t="e">
        <f>#REF!</f>
        <v>#REF!</v>
      </c>
      <c r="V28" s="136" t="e">
        <f>#REF!</f>
        <v>#REF!</v>
      </c>
      <c r="W28" s="136" t="e">
        <f>#REF!</f>
        <v>#REF!</v>
      </c>
      <c r="X28" s="136" t="e">
        <f>#REF!</f>
        <v>#REF!</v>
      </c>
      <c r="Y28" s="136" t="e">
        <f>#REF!</f>
        <v>#REF!</v>
      </c>
      <c r="Z28" s="136" t="e">
        <f>#REF!</f>
        <v>#REF!</v>
      </c>
      <c r="AA28" s="136" t="e">
        <f>#REF!</f>
        <v>#REF!</v>
      </c>
      <c r="AB28" s="136" t="e">
        <f>#REF!</f>
        <v>#REF!</v>
      </c>
      <c r="AC28" s="136" t="e">
        <f>#REF!</f>
        <v>#REF!</v>
      </c>
      <c r="AD28" s="136" t="e">
        <f>#REF!</f>
        <v>#REF!</v>
      </c>
      <c r="AE28" s="136" t="e">
        <f>#REF!</f>
        <v>#REF!</v>
      </c>
      <c r="AF28" s="136" t="e">
        <f>#REF!</f>
        <v>#REF!</v>
      </c>
      <c r="AG28" s="136" t="e">
        <f>#REF!</f>
        <v>#REF!</v>
      </c>
      <c r="AH28" s="136" t="e">
        <f>#REF!</f>
        <v>#REF!</v>
      </c>
      <c r="AI28" s="136" t="e">
        <f>#REF!</f>
        <v>#REF!</v>
      </c>
      <c r="AJ28" s="136" t="e">
        <f>#REF!</f>
        <v>#REF!</v>
      </c>
      <c r="AK28" s="136" t="e">
        <f>#REF!</f>
        <v>#REF!</v>
      </c>
      <c r="AL28" s="136"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s="137" t="e">
        <f>#REF!</f>
        <v>#REF!</v>
      </c>
      <c r="BO28" s="137" t="e">
        <f>#REF!</f>
        <v>#REF!</v>
      </c>
      <c r="BP28" s="137" t="e">
        <f>#REF!</f>
        <v>#REF!</v>
      </c>
      <c r="BQ28" s="137" t="e">
        <f>#REF!</f>
        <v>#REF!</v>
      </c>
      <c r="BR28" s="137" t="e">
        <f>#REF!</f>
        <v>#REF!</v>
      </c>
      <c r="BS28" s="137" t="e">
        <f>#REF!</f>
        <v>#REF!</v>
      </c>
      <c r="BT28" s="137" t="e">
        <f>#REF!</f>
        <v>#REF!</v>
      </c>
      <c r="BU28" s="137" t="e">
        <f>#REF!</f>
        <v>#REF!</v>
      </c>
      <c r="BV28" s="137" t="e">
        <f>#REF!</f>
        <v>#REF!</v>
      </c>
      <c r="BW28" s="137" t="e">
        <f>#REF!</f>
        <v>#REF!</v>
      </c>
      <c r="BX28" s="137" t="e">
        <f>#REF!</f>
        <v>#REF!</v>
      </c>
      <c r="BY28" s="137" t="e">
        <f>#REF!</f>
        <v>#REF!</v>
      </c>
      <c r="BZ28" s="137" t="e">
        <f>#REF!</f>
        <v>#REF!</v>
      </c>
      <c r="CA28" s="137" t="e">
        <f>#REF!</f>
        <v>#REF!</v>
      </c>
      <c r="CB28" t="e">
        <f>#REF!</f>
        <v>#REF!</v>
      </c>
      <c r="CC28" t="e">
        <f>#REF!</f>
        <v>#REF!</v>
      </c>
      <c r="CD28" t="e">
        <f>#REF!</f>
        <v>#REF!</v>
      </c>
      <c r="CE28" t="e">
        <f>#REF!</f>
        <v>#REF!</v>
      </c>
      <c r="CF28" t="e">
        <f>#REF!</f>
        <v>#REF!</v>
      </c>
      <c r="CG28" t="e">
        <f>#REF!</f>
        <v>#REF!</v>
      </c>
      <c r="CH28" t="e">
        <f>#REF!</f>
        <v>#REF!</v>
      </c>
      <c r="CI28" t="e">
        <f>#REF!</f>
        <v>#REF!</v>
      </c>
      <c r="CJ28" s="136" t="e">
        <f>#REF!</f>
        <v>#REF!</v>
      </c>
      <c r="CK28" s="136" t="e">
        <f>#REF!</f>
        <v>#REF!</v>
      </c>
      <c r="CL28" s="136" t="e">
        <f>#REF!</f>
        <v>#REF!</v>
      </c>
      <c r="CM28" s="136" t="e">
        <f>#REF!</f>
        <v>#REF!</v>
      </c>
      <c r="CN28" s="136" t="e">
        <f>#REF!</f>
        <v>#REF!</v>
      </c>
      <c r="CO28" s="136" t="e">
        <f>#REF!</f>
        <v>#REF!</v>
      </c>
      <c r="CP28" t="e">
        <f>#REF!</f>
        <v>#REF!</v>
      </c>
      <c r="CQ28" t="e">
        <f>#REF!</f>
        <v>#REF!</v>
      </c>
      <c r="CR28" t="e">
        <f>#REF!</f>
        <v>#REF!</v>
      </c>
      <c r="CS28" t="e">
        <f>#REF!</f>
        <v>#REF!</v>
      </c>
      <c r="CT28" t="e">
        <f>#REF!</f>
        <v>#REF!</v>
      </c>
      <c r="CU28" t="e">
        <f>#REF!</f>
        <v>#REF!</v>
      </c>
      <c r="CV28" t="e">
        <f>#REF!</f>
        <v>#REF!</v>
      </c>
      <c r="CW28" t="e">
        <f>#REF!</f>
        <v>#REF!</v>
      </c>
      <c r="CX28" t="e">
        <f>#REF!</f>
        <v>#REF!</v>
      </c>
      <c r="CY28" t="e">
        <f>#REF!</f>
        <v>#REF!</v>
      </c>
      <c r="CZ28" t="e">
        <f>#REF!</f>
        <v>#REF!</v>
      </c>
      <c r="DA28" t="e">
        <f>#REF!</f>
        <v>#REF!</v>
      </c>
      <c r="DB28" t="e">
        <f>#REF!</f>
        <v>#REF!</v>
      </c>
      <c r="DC28" t="e">
        <f>#REF!</f>
        <v>#REF!</v>
      </c>
      <c r="DD28" t="e">
        <f>#REF!</f>
        <v>#REF!</v>
      </c>
      <c r="DE28" t="e">
        <f>#REF!</f>
        <v>#REF!</v>
      </c>
      <c r="DF28" t="e">
        <f>#REF!</f>
        <v>#REF!</v>
      </c>
      <c r="DG28" t="e">
        <f>#REF!</f>
        <v>#REF!</v>
      </c>
      <c r="DH28" t="e">
        <f>#REF!</f>
        <v>#REF!</v>
      </c>
      <c r="DI28" t="e">
        <f>#REF!</f>
        <v>#REF!</v>
      </c>
      <c r="DJ28" t="e">
        <f>#REF!</f>
        <v>#REF!</v>
      </c>
      <c r="DK28" t="e">
        <f>#REF!</f>
        <v>#REF!</v>
      </c>
      <c r="DL28" t="e">
        <f>#REF!</f>
        <v>#REF!</v>
      </c>
      <c r="DM28" t="e">
        <f>#REF!</f>
        <v>#REF!</v>
      </c>
      <c r="DN28" t="e">
        <f>#REF!</f>
        <v>#REF!</v>
      </c>
      <c r="DO28" t="e">
        <f>#REF!</f>
        <v>#REF!</v>
      </c>
      <c r="DP28" t="e">
        <f>#REF!</f>
        <v>#REF!</v>
      </c>
      <c r="DQ28" t="e">
        <f>#REF!</f>
        <v>#REF!</v>
      </c>
      <c r="DR28" t="e">
        <f>#REF!</f>
        <v>#REF!</v>
      </c>
      <c r="DS28" t="e">
        <f>#REF!</f>
        <v>#REF!</v>
      </c>
      <c r="DT28" t="e">
        <f>#REF!</f>
        <v>#REF!</v>
      </c>
      <c r="DU28" t="e">
        <f>#REF!</f>
        <v>#REF!</v>
      </c>
      <c r="DV28" t="e">
        <f>#REF!</f>
        <v>#REF!</v>
      </c>
      <c r="DW28" t="e">
        <f>#REF!</f>
        <v>#REF!</v>
      </c>
      <c r="DX28" t="e">
        <f>#REF!</f>
        <v>#REF!</v>
      </c>
      <c r="DY28" t="e">
        <f>#REF!</f>
        <v>#REF!</v>
      </c>
      <c r="DZ28" t="e">
        <f>#REF!</f>
        <v>#REF!</v>
      </c>
      <c r="EA28" t="e">
        <f>#REF!</f>
        <v>#REF!</v>
      </c>
      <c r="EB28" t="e">
        <f>#REF!</f>
        <v>#REF!</v>
      </c>
      <c r="EC28" t="e">
        <f>#REF!</f>
        <v>#REF!</v>
      </c>
      <c r="ED28" t="e">
        <f>#REF!</f>
        <v>#REF!</v>
      </c>
      <c r="EE28" t="e">
        <f>#REF!</f>
        <v>#REF!</v>
      </c>
      <c r="EF28" t="e">
        <f>#REF!</f>
        <v>#REF!</v>
      </c>
      <c r="EG28" t="e">
        <f>#REF!</f>
        <v>#REF!</v>
      </c>
      <c r="EH28" t="e">
        <f>#REF!</f>
        <v>#REF!</v>
      </c>
      <c r="EI28" t="e">
        <f>#REF!</f>
        <v>#REF!</v>
      </c>
      <c r="EJ28" t="e">
        <f>#REF!</f>
        <v>#REF!</v>
      </c>
      <c r="EK28" t="e">
        <f>#REF!</f>
        <v>#REF!</v>
      </c>
      <c r="EL28" t="e">
        <f>#REF!</f>
        <v>#REF!</v>
      </c>
      <c r="EM28" t="e">
        <f>#REF!</f>
        <v>#REF!</v>
      </c>
      <c r="EN28" t="e">
        <f>#REF!</f>
        <v>#REF!</v>
      </c>
      <c r="EO28" t="e">
        <f>#REF!</f>
        <v>#REF!</v>
      </c>
      <c r="EP28" t="e">
        <f>#REF!</f>
        <v>#REF!</v>
      </c>
      <c r="EQ28" t="e">
        <f>#REF!</f>
        <v>#REF!</v>
      </c>
      <c r="ER28" t="e">
        <f>#REF!</f>
        <v>#REF!</v>
      </c>
      <c r="ES28" t="e">
        <f>#REF!</f>
        <v>#REF!</v>
      </c>
      <c r="ET28" t="e">
        <f>#REF!</f>
        <v>#REF!</v>
      </c>
      <c r="EU28" t="e">
        <f>#REF!</f>
        <v>#REF!</v>
      </c>
      <c r="EV28" t="e">
        <f>#REF!</f>
        <v>#REF!</v>
      </c>
      <c r="EW28" t="e">
        <f>#REF!</f>
        <v>#REF!</v>
      </c>
      <c r="EX28" t="e">
        <f>#REF!</f>
        <v>#REF!</v>
      </c>
      <c r="EY28" t="e">
        <f>#REF!</f>
        <v>#REF!</v>
      </c>
      <c r="EZ28" t="e">
        <f>#REF!</f>
        <v>#REF!</v>
      </c>
      <c r="FA28" t="e">
        <f>#REF!</f>
        <v>#REF!</v>
      </c>
      <c r="FB28" t="e">
        <f>#REF!</f>
        <v>#REF!</v>
      </c>
      <c r="FC28" t="e">
        <f>#REF!</f>
        <v>#REF!</v>
      </c>
      <c r="FD28" t="e">
        <f>#REF!</f>
        <v>#REF!</v>
      </c>
      <c r="FE28" t="e">
        <f>#REF!</f>
        <v>#REF!</v>
      </c>
      <c r="FF28" t="e">
        <f>#REF!</f>
        <v>#REF!</v>
      </c>
      <c r="FG28" t="e">
        <f>#REF!</f>
        <v>#REF!</v>
      </c>
      <c r="FH28" t="e">
        <f>#REF!</f>
        <v>#REF!</v>
      </c>
      <c r="FI28" t="e">
        <f>#REF!</f>
        <v>#REF!</v>
      </c>
      <c r="FJ28" t="e">
        <f>#REF!</f>
        <v>#REF!</v>
      </c>
      <c r="FK28" t="e">
        <f>#REF!</f>
        <v>#REF!</v>
      </c>
      <c r="FL28" t="e">
        <f>#REF!</f>
        <v>#REF!</v>
      </c>
      <c r="FM28" t="e">
        <f>#REF!</f>
        <v>#REF!</v>
      </c>
      <c r="FN28" t="e">
        <f>#REF!</f>
        <v>#REF!</v>
      </c>
    </row>
    <row r="29" spans="1:170" ht="15" x14ac:dyDescent="0.25">
      <c r="A29" s="619">
        <v>1</v>
      </c>
      <c r="B29" s="133" t="e">
        <f>RIGHT(#REF!,LEN(#REF!)-(FIND("Standards",#REF!,1)+9))</f>
        <v>#REF!</v>
      </c>
      <c r="C29" s="620" t="e">
        <f>#REF!</f>
        <v>#REF!</v>
      </c>
      <c r="D29" s="620">
        <v>72686</v>
      </c>
      <c r="E29" s="621" t="e">
        <f>#REF!</f>
        <v>#REF!</v>
      </c>
      <c r="F29" s="621" t="e">
        <f>#REF!</f>
        <v>#REF!</v>
      </c>
      <c r="G29" s="619" t="e">
        <f>#REF!</f>
        <v>#REF!</v>
      </c>
      <c r="H29" s="619" t="e">
        <f>#REF!</f>
        <v>#REF!</v>
      </c>
      <c r="I29" s="621" t="e">
        <f>#REF!</f>
        <v>#REF!</v>
      </c>
      <c r="J29" s="619" t="e">
        <f>#REF!</f>
        <v>#REF!</v>
      </c>
      <c r="K29" s="621" t="e">
        <f>#REF!</f>
        <v>#REF!</v>
      </c>
      <c r="L29" s="622" t="e">
        <f>#REF!</f>
        <v>#REF!</v>
      </c>
      <c r="M29" s="622" t="e">
        <f>#REF!</f>
        <v>#REF!</v>
      </c>
      <c r="N29" t="e">
        <f>#REF!</f>
        <v>#REF!</v>
      </c>
      <c r="O29" t="e">
        <f>#REF!</f>
        <v>#REF!</v>
      </c>
      <c r="P29" t="e">
        <f>#REF!</f>
        <v>#REF!</v>
      </c>
      <c r="Q29" s="136" t="e">
        <f>#REF!</f>
        <v>#REF!</v>
      </c>
      <c r="R29" s="136" t="e">
        <f>#REF!</f>
        <v>#REF!</v>
      </c>
      <c r="S29" s="136" t="e">
        <f>#REF!</f>
        <v>#REF!</v>
      </c>
      <c r="T29" s="136" t="e">
        <f>#REF!</f>
        <v>#REF!</v>
      </c>
      <c r="U29" s="136" t="e">
        <f>#REF!</f>
        <v>#REF!</v>
      </c>
      <c r="V29" s="136" t="e">
        <f>#REF!</f>
        <v>#REF!</v>
      </c>
      <c r="W29" s="136" t="e">
        <f>#REF!</f>
        <v>#REF!</v>
      </c>
      <c r="X29" s="136" t="e">
        <f>#REF!</f>
        <v>#REF!</v>
      </c>
      <c r="Y29" s="136" t="e">
        <f>#REF!</f>
        <v>#REF!</v>
      </c>
      <c r="Z29" s="136" t="e">
        <f>#REF!</f>
        <v>#REF!</v>
      </c>
      <c r="AA29" s="136" t="e">
        <f>#REF!</f>
        <v>#REF!</v>
      </c>
      <c r="AB29" s="136" t="e">
        <f>#REF!</f>
        <v>#REF!</v>
      </c>
      <c r="AC29" s="136" t="e">
        <f>#REF!</f>
        <v>#REF!</v>
      </c>
      <c r="AD29" s="136" t="e">
        <f>#REF!</f>
        <v>#REF!</v>
      </c>
      <c r="AE29" s="136" t="e">
        <f>#REF!</f>
        <v>#REF!</v>
      </c>
      <c r="AF29" s="136" t="e">
        <f>#REF!</f>
        <v>#REF!</v>
      </c>
      <c r="AG29" s="136" t="e">
        <f>#REF!</f>
        <v>#REF!</v>
      </c>
      <c r="AH29" s="136" t="e">
        <f>#REF!</f>
        <v>#REF!</v>
      </c>
      <c r="AI29" s="136" t="e">
        <f>#REF!</f>
        <v>#REF!</v>
      </c>
      <c r="AJ29" s="136" t="e">
        <f>#REF!</f>
        <v>#REF!</v>
      </c>
      <c r="AK29" s="136" t="e">
        <f>#REF!</f>
        <v>#REF!</v>
      </c>
      <c r="AL29" s="136"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s="137" t="e">
        <f>#REF!</f>
        <v>#REF!</v>
      </c>
      <c r="BO29" s="137" t="e">
        <f>#REF!</f>
        <v>#REF!</v>
      </c>
      <c r="BP29" s="137" t="e">
        <f>#REF!</f>
        <v>#REF!</v>
      </c>
      <c r="BQ29" s="137" t="e">
        <f>#REF!</f>
        <v>#REF!</v>
      </c>
      <c r="BR29" s="137" t="e">
        <f>#REF!</f>
        <v>#REF!</v>
      </c>
      <c r="BS29" s="137" t="e">
        <f>#REF!</f>
        <v>#REF!</v>
      </c>
      <c r="BT29" s="137" t="e">
        <f>#REF!</f>
        <v>#REF!</v>
      </c>
      <c r="BU29" s="137" t="e">
        <f>#REF!</f>
        <v>#REF!</v>
      </c>
      <c r="BV29" s="137" t="e">
        <f>#REF!</f>
        <v>#REF!</v>
      </c>
      <c r="BW29" s="137" t="e">
        <f>#REF!</f>
        <v>#REF!</v>
      </c>
      <c r="BX29" s="137" t="e">
        <f>#REF!</f>
        <v>#REF!</v>
      </c>
      <c r="BY29" s="137" t="e">
        <f>#REF!</f>
        <v>#REF!</v>
      </c>
      <c r="BZ29" s="137" t="e">
        <f>#REF!</f>
        <v>#REF!</v>
      </c>
      <c r="CA29" s="137" t="e">
        <f>#REF!</f>
        <v>#REF!</v>
      </c>
      <c r="CB29" t="e">
        <f>#REF!</f>
        <v>#REF!</v>
      </c>
      <c r="CC29" t="e">
        <f>#REF!</f>
        <v>#REF!</v>
      </c>
      <c r="CD29" t="e">
        <f>#REF!</f>
        <v>#REF!</v>
      </c>
      <c r="CE29" t="e">
        <f>#REF!</f>
        <v>#REF!</v>
      </c>
      <c r="CF29" t="e">
        <f>#REF!</f>
        <v>#REF!</v>
      </c>
      <c r="CG29" t="e">
        <f>#REF!</f>
        <v>#REF!</v>
      </c>
      <c r="CH29" t="e">
        <f>#REF!</f>
        <v>#REF!</v>
      </c>
      <c r="CI29" t="e">
        <f>#REF!</f>
        <v>#REF!</v>
      </c>
      <c r="CJ29" s="136" t="e">
        <f>#REF!</f>
        <v>#REF!</v>
      </c>
      <c r="CK29" s="136" t="e">
        <f>#REF!</f>
        <v>#REF!</v>
      </c>
      <c r="CL29" s="136" t="e">
        <f>#REF!</f>
        <v>#REF!</v>
      </c>
      <c r="CM29" s="136" t="e">
        <f>#REF!</f>
        <v>#REF!</v>
      </c>
      <c r="CN29" s="136" t="e">
        <f>#REF!</f>
        <v>#REF!</v>
      </c>
      <c r="CO29" s="136" t="e">
        <f>#REF!</f>
        <v>#REF!</v>
      </c>
      <c r="CP29" t="e">
        <f>#REF!</f>
        <v>#REF!</v>
      </c>
      <c r="CQ29" t="e">
        <f>#REF!</f>
        <v>#REF!</v>
      </c>
      <c r="CR29" t="e">
        <f>#REF!</f>
        <v>#REF!</v>
      </c>
      <c r="CS29" t="e">
        <f>#REF!</f>
        <v>#REF!</v>
      </c>
      <c r="CT29" t="e">
        <f>#REF!</f>
        <v>#REF!</v>
      </c>
      <c r="CU29" t="e">
        <f>#REF!</f>
        <v>#REF!</v>
      </c>
      <c r="CV29" t="e">
        <f>#REF!</f>
        <v>#REF!</v>
      </c>
      <c r="CW29" t="e">
        <f>#REF!</f>
        <v>#REF!</v>
      </c>
      <c r="CX29" t="e">
        <f>#REF!</f>
        <v>#REF!</v>
      </c>
      <c r="CY29" t="e">
        <f>#REF!</f>
        <v>#REF!</v>
      </c>
      <c r="CZ29" t="e">
        <f>#REF!</f>
        <v>#REF!</v>
      </c>
      <c r="DA29" t="e">
        <f>#REF!</f>
        <v>#REF!</v>
      </c>
      <c r="DB29" t="e">
        <f>#REF!</f>
        <v>#REF!</v>
      </c>
      <c r="DC29" t="e">
        <f>#REF!</f>
        <v>#REF!</v>
      </c>
      <c r="DD29" t="e">
        <f>#REF!</f>
        <v>#REF!</v>
      </c>
      <c r="DE29" t="e">
        <f>#REF!</f>
        <v>#REF!</v>
      </c>
      <c r="DF29" t="e">
        <f>#REF!</f>
        <v>#REF!</v>
      </c>
      <c r="DG29" t="e">
        <f>#REF!</f>
        <v>#REF!</v>
      </c>
      <c r="DH29" t="e">
        <f>#REF!</f>
        <v>#REF!</v>
      </c>
      <c r="DI29" t="e">
        <f>#REF!</f>
        <v>#REF!</v>
      </c>
      <c r="DJ29" t="e">
        <f>#REF!</f>
        <v>#REF!</v>
      </c>
      <c r="DK29" t="e">
        <f>#REF!</f>
        <v>#REF!</v>
      </c>
      <c r="DL29" t="e">
        <f>#REF!</f>
        <v>#REF!</v>
      </c>
      <c r="DM29" t="e">
        <f>#REF!</f>
        <v>#REF!</v>
      </c>
      <c r="DN29" t="e">
        <f>#REF!</f>
        <v>#REF!</v>
      </c>
      <c r="DO29" t="e">
        <f>#REF!</f>
        <v>#REF!</v>
      </c>
      <c r="DP29" t="e">
        <f>#REF!</f>
        <v>#REF!</v>
      </c>
      <c r="DQ29" t="e">
        <f>#REF!</f>
        <v>#REF!</v>
      </c>
      <c r="DR29" t="e">
        <f>#REF!</f>
        <v>#REF!</v>
      </c>
      <c r="DS29" t="e">
        <f>#REF!</f>
        <v>#REF!</v>
      </c>
      <c r="DT29" t="e">
        <f>#REF!</f>
        <v>#REF!</v>
      </c>
      <c r="DU29" t="e">
        <f>#REF!</f>
        <v>#REF!</v>
      </c>
      <c r="DV29" t="e">
        <f>#REF!</f>
        <v>#REF!</v>
      </c>
      <c r="DW29" t="e">
        <f>#REF!</f>
        <v>#REF!</v>
      </c>
      <c r="DX29" t="e">
        <f>#REF!</f>
        <v>#REF!</v>
      </c>
      <c r="DY29" t="e">
        <f>#REF!</f>
        <v>#REF!</v>
      </c>
      <c r="DZ29" t="e">
        <f>#REF!</f>
        <v>#REF!</v>
      </c>
      <c r="EA29" t="e">
        <f>#REF!</f>
        <v>#REF!</v>
      </c>
      <c r="EB29" t="e">
        <f>#REF!</f>
        <v>#REF!</v>
      </c>
      <c r="EC29" t="e">
        <f>#REF!</f>
        <v>#REF!</v>
      </c>
      <c r="ED29" t="e">
        <f>#REF!</f>
        <v>#REF!</v>
      </c>
      <c r="EE29" t="e">
        <f>#REF!</f>
        <v>#REF!</v>
      </c>
      <c r="EF29" t="e">
        <f>#REF!</f>
        <v>#REF!</v>
      </c>
      <c r="EG29" t="e">
        <f>#REF!</f>
        <v>#REF!</v>
      </c>
      <c r="EH29" t="e">
        <f>#REF!</f>
        <v>#REF!</v>
      </c>
      <c r="EI29" t="e">
        <f>#REF!</f>
        <v>#REF!</v>
      </c>
      <c r="EJ29" t="e">
        <f>#REF!</f>
        <v>#REF!</v>
      </c>
      <c r="EK29" t="e">
        <f>#REF!</f>
        <v>#REF!</v>
      </c>
      <c r="EL29" t="e">
        <f>#REF!</f>
        <v>#REF!</v>
      </c>
      <c r="EM29" t="e">
        <f>#REF!</f>
        <v>#REF!</v>
      </c>
      <c r="EN29" t="e">
        <f>#REF!</f>
        <v>#REF!</v>
      </c>
      <c r="EO29" t="e">
        <f>#REF!</f>
        <v>#REF!</v>
      </c>
      <c r="EP29" t="e">
        <f>#REF!</f>
        <v>#REF!</v>
      </c>
      <c r="EQ29" t="e">
        <f>#REF!</f>
        <v>#REF!</v>
      </c>
      <c r="ER29" t="e">
        <f>#REF!</f>
        <v>#REF!</v>
      </c>
      <c r="ES29" t="e">
        <f>#REF!</f>
        <v>#REF!</v>
      </c>
      <c r="ET29" t="e">
        <f>#REF!</f>
        <v>#REF!</v>
      </c>
      <c r="EU29" t="e">
        <f>#REF!</f>
        <v>#REF!</v>
      </c>
      <c r="EV29" t="e">
        <f>#REF!</f>
        <v>#REF!</v>
      </c>
      <c r="EW29" t="e">
        <f>#REF!</f>
        <v>#REF!</v>
      </c>
      <c r="EX29" t="e">
        <f>#REF!</f>
        <v>#REF!</v>
      </c>
      <c r="EY29" t="e">
        <f>#REF!</f>
        <v>#REF!</v>
      </c>
      <c r="EZ29" t="e">
        <f>#REF!</f>
        <v>#REF!</v>
      </c>
      <c r="FA29" t="e">
        <f>#REF!</f>
        <v>#REF!</v>
      </c>
      <c r="FB29" t="e">
        <f>#REF!</f>
        <v>#REF!</v>
      </c>
      <c r="FC29" t="e">
        <f>#REF!</f>
        <v>#REF!</v>
      </c>
      <c r="FD29" t="e">
        <f>#REF!</f>
        <v>#REF!</v>
      </c>
      <c r="FE29" t="e">
        <f>#REF!</f>
        <v>#REF!</v>
      </c>
      <c r="FF29" t="e">
        <f>#REF!</f>
        <v>#REF!</v>
      </c>
      <c r="FG29" t="e">
        <f>#REF!</f>
        <v>#REF!</v>
      </c>
      <c r="FH29" t="e">
        <f>#REF!</f>
        <v>#REF!</v>
      </c>
      <c r="FI29" t="e">
        <f>#REF!</f>
        <v>#REF!</v>
      </c>
      <c r="FJ29" t="e">
        <f>#REF!</f>
        <v>#REF!</v>
      </c>
      <c r="FK29" t="e">
        <f>#REF!</f>
        <v>#REF!</v>
      </c>
      <c r="FL29" t="e">
        <f>#REF!</f>
        <v>#REF!</v>
      </c>
      <c r="FM29" t="e">
        <f>#REF!</f>
        <v>#REF!</v>
      </c>
      <c r="FN29" t="e">
        <f>#REF!</f>
        <v>#REF!</v>
      </c>
    </row>
    <row r="30" spans="1:170" ht="15" x14ac:dyDescent="0.25">
      <c r="A30" s="619">
        <v>1</v>
      </c>
      <c r="B30" s="133" t="e">
        <f>RIGHT(#REF!,LEN(#REF!)-(FIND("Standards",#REF!,1)+9))</f>
        <v>#REF!</v>
      </c>
      <c r="C30" s="620" t="e">
        <f>#REF!</f>
        <v>#REF!</v>
      </c>
      <c r="D30" s="620">
        <v>72686</v>
      </c>
      <c r="E30" s="621" t="e">
        <f>#REF!</f>
        <v>#REF!</v>
      </c>
      <c r="F30" s="621" t="e">
        <f>#REF!</f>
        <v>#REF!</v>
      </c>
      <c r="G30" s="619" t="e">
        <f>#REF!</f>
        <v>#REF!</v>
      </c>
      <c r="H30" s="619" t="e">
        <f>#REF!</f>
        <v>#REF!</v>
      </c>
      <c r="I30" s="621" t="e">
        <f>#REF!</f>
        <v>#REF!</v>
      </c>
      <c r="J30" s="619" t="e">
        <f>#REF!</f>
        <v>#REF!</v>
      </c>
      <c r="K30" s="621" t="e">
        <f>#REF!</f>
        <v>#REF!</v>
      </c>
      <c r="L30" s="622" t="e">
        <f>#REF!</f>
        <v>#REF!</v>
      </c>
      <c r="M30" s="622" t="e">
        <f>#REF!</f>
        <v>#REF!</v>
      </c>
      <c r="N30" t="e">
        <f>#REF!</f>
        <v>#REF!</v>
      </c>
      <c r="O30" t="e">
        <f>#REF!</f>
        <v>#REF!</v>
      </c>
      <c r="P30" t="e">
        <f>#REF!</f>
        <v>#REF!</v>
      </c>
      <c r="Q30" s="136" t="e">
        <f>#REF!</f>
        <v>#REF!</v>
      </c>
      <c r="R30" s="136" t="e">
        <f>#REF!</f>
        <v>#REF!</v>
      </c>
      <c r="S30" s="136" t="e">
        <f>#REF!</f>
        <v>#REF!</v>
      </c>
      <c r="T30" s="136" t="e">
        <f>#REF!</f>
        <v>#REF!</v>
      </c>
      <c r="U30" s="136" t="e">
        <f>#REF!</f>
        <v>#REF!</v>
      </c>
      <c r="V30" s="136" t="e">
        <f>#REF!</f>
        <v>#REF!</v>
      </c>
      <c r="W30" s="136" t="e">
        <f>#REF!</f>
        <v>#REF!</v>
      </c>
      <c r="X30" s="136" t="e">
        <f>#REF!</f>
        <v>#REF!</v>
      </c>
      <c r="Y30" s="136" t="e">
        <f>#REF!</f>
        <v>#REF!</v>
      </c>
      <c r="Z30" s="136" t="e">
        <f>#REF!</f>
        <v>#REF!</v>
      </c>
      <c r="AA30" s="136" t="e">
        <f>#REF!</f>
        <v>#REF!</v>
      </c>
      <c r="AB30" s="136" t="e">
        <f>#REF!</f>
        <v>#REF!</v>
      </c>
      <c r="AC30" s="136" t="e">
        <f>#REF!</f>
        <v>#REF!</v>
      </c>
      <c r="AD30" s="136" t="e">
        <f>#REF!</f>
        <v>#REF!</v>
      </c>
      <c r="AE30" s="136" t="e">
        <f>#REF!</f>
        <v>#REF!</v>
      </c>
      <c r="AF30" s="136" t="e">
        <f>#REF!</f>
        <v>#REF!</v>
      </c>
      <c r="AG30" s="136" t="e">
        <f>#REF!</f>
        <v>#REF!</v>
      </c>
      <c r="AH30" s="136" t="e">
        <f>#REF!</f>
        <v>#REF!</v>
      </c>
      <c r="AI30" s="136" t="e">
        <f>#REF!</f>
        <v>#REF!</v>
      </c>
      <c r="AJ30" s="136" t="e">
        <f>#REF!</f>
        <v>#REF!</v>
      </c>
      <c r="AK30" s="136" t="e">
        <f>#REF!</f>
        <v>#REF!</v>
      </c>
      <c r="AL30" s="136"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s="137" t="e">
        <f>#REF!</f>
        <v>#REF!</v>
      </c>
      <c r="BO30" s="137" t="e">
        <f>#REF!</f>
        <v>#REF!</v>
      </c>
      <c r="BP30" s="137" t="e">
        <f>#REF!</f>
        <v>#REF!</v>
      </c>
      <c r="BQ30" s="137" t="e">
        <f>#REF!</f>
        <v>#REF!</v>
      </c>
      <c r="BR30" s="137" t="e">
        <f>#REF!</f>
        <v>#REF!</v>
      </c>
      <c r="BS30" s="137" t="e">
        <f>#REF!</f>
        <v>#REF!</v>
      </c>
      <c r="BT30" s="137" t="e">
        <f>#REF!</f>
        <v>#REF!</v>
      </c>
      <c r="BU30" s="137" t="e">
        <f>#REF!</f>
        <v>#REF!</v>
      </c>
      <c r="BV30" s="137" t="e">
        <f>#REF!</f>
        <v>#REF!</v>
      </c>
      <c r="BW30" s="137" t="e">
        <f>#REF!</f>
        <v>#REF!</v>
      </c>
      <c r="BX30" s="137" t="e">
        <f>#REF!</f>
        <v>#REF!</v>
      </c>
      <c r="BY30" s="137" t="e">
        <f>#REF!</f>
        <v>#REF!</v>
      </c>
      <c r="BZ30" s="137" t="e">
        <f>#REF!</f>
        <v>#REF!</v>
      </c>
      <c r="CA30" s="137" t="e">
        <f>#REF!</f>
        <v>#REF!</v>
      </c>
      <c r="CB30" t="e">
        <f>#REF!</f>
        <v>#REF!</v>
      </c>
      <c r="CC30" t="e">
        <f>#REF!</f>
        <v>#REF!</v>
      </c>
      <c r="CD30" t="e">
        <f>#REF!</f>
        <v>#REF!</v>
      </c>
      <c r="CE30" t="e">
        <f>#REF!</f>
        <v>#REF!</v>
      </c>
      <c r="CF30" t="e">
        <f>#REF!</f>
        <v>#REF!</v>
      </c>
      <c r="CG30" t="e">
        <f>#REF!</f>
        <v>#REF!</v>
      </c>
      <c r="CH30" t="e">
        <f>#REF!</f>
        <v>#REF!</v>
      </c>
      <c r="CI30" t="e">
        <f>#REF!</f>
        <v>#REF!</v>
      </c>
      <c r="CJ30" s="136" t="e">
        <f>#REF!</f>
        <v>#REF!</v>
      </c>
      <c r="CK30" s="136" t="e">
        <f>#REF!</f>
        <v>#REF!</v>
      </c>
      <c r="CL30">
        <v>0</v>
      </c>
      <c r="CM30">
        <v>0</v>
      </c>
      <c r="CN30">
        <v>0</v>
      </c>
      <c r="CO30">
        <v>0</v>
      </c>
      <c r="CP30" t="e">
        <f>#REF!</f>
        <v>#REF!</v>
      </c>
      <c r="CQ30" t="e">
        <f>#REF!</f>
        <v>#REF!</v>
      </c>
      <c r="CR30" t="e">
        <f>#REF!</f>
        <v>#REF!</v>
      </c>
      <c r="CS30" t="e">
        <f>#REF!</f>
        <v>#REF!</v>
      </c>
      <c r="CT30" t="e">
        <f>#REF!</f>
        <v>#REF!</v>
      </c>
      <c r="CU30" t="e">
        <f>#REF!</f>
        <v>#REF!</v>
      </c>
      <c r="CV30" t="e">
        <f>#REF!</f>
        <v>#REF!</v>
      </c>
      <c r="CW30" t="e">
        <f>#REF!</f>
        <v>#REF!</v>
      </c>
      <c r="CX30" t="e">
        <f>#REF!</f>
        <v>#REF!</v>
      </c>
      <c r="CY30" t="e">
        <f>#REF!</f>
        <v>#REF!</v>
      </c>
      <c r="CZ30" t="e">
        <f>#REF!</f>
        <v>#REF!</v>
      </c>
      <c r="DA30" t="e">
        <f>#REF!</f>
        <v>#REF!</v>
      </c>
      <c r="DB30" t="e">
        <f>#REF!</f>
        <v>#REF!</v>
      </c>
      <c r="DC30" t="e">
        <f>#REF!</f>
        <v>#REF!</v>
      </c>
      <c r="DD30" t="e">
        <f>#REF!</f>
        <v>#REF!</v>
      </c>
      <c r="DE30" t="e">
        <f>#REF!</f>
        <v>#REF!</v>
      </c>
      <c r="DF30" t="e">
        <f>#REF!</f>
        <v>#REF!</v>
      </c>
      <c r="DG30" t="e">
        <f>#REF!</f>
        <v>#REF!</v>
      </c>
      <c r="DH30" t="e">
        <f>#REF!</f>
        <v>#REF!</v>
      </c>
      <c r="DI30" t="e">
        <f>#REF!</f>
        <v>#REF!</v>
      </c>
      <c r="DJ30" t="e">
        <f>#REF!</f>
        <v>#REF!</v>
      </c>
      <c r="DK30" t="e">
        <f>#REF!</f>
        <v>#REF!</v>
      </c>
      <c r="DL30" t="e">
        <f>#REF!</f>
        <v>#REF!</v>
      </c>
      <c r="DM30" t="e">
        <f>#REF!</f>
        <v>#REF!</v>
      </c>
      <c r="DN30" t="e">
        <f>#REF!</f>
        <v>#REF!</v>
      </c>
      <c r="DO30" t="e">
        <f>#REF!</f>
        <v>#REF!</v>
      </c>
      <c r="DP30" t="e">
        <f>#REF!</f>
        <v>#REF!</v>
      </c>
      <c r="DQ30" t="e">
        <f>#REF!</f>
        <v>#REF!</v>
      </c>
      <c r="DR30" t="e">
        <f>#REF!</f>
        <v>#REF!</v>
      </c>
      <c r="DS30" t="e">
        <f>#REF!</f>
        <v>#REF!</v>
      </c>
      <c r="DT30" t="e">
        <f>#REF!</f>
        <v>#REF!</v>
      </c>
      <c r="DU30" t="e">
        <f>#REF!</f>
        <v>#REF!</v>
      </c>
      <c r="DV30" t="e">
        <f>#REF!</f>
        <v>#REF!</v>
      </c>
      <c r="DW30" t="e">
        <f>#REF!</f>
        <v>#REF!</v>
      </c>
      <c r="DX30" t="e">
        <f>#REF!</f>
        <v>#REF!</v>
      </c>
      <c r="DY30" t="e">
        <f>#REF!</f>
        <v>#REF!</v>
      </c>
      <c r="DZ30" t="e">
        <f>#REF!</f>
        <v>#REF!</v>
      </c>
      <c r="EA30" t="e">
        <f>#REF!</f>
        <v>#REF!</v>
      </c>
      <c r="EB30" t="e">
        <f>#REF!</f>
        <v>#REF!</v>
      </c>
      <c r="EC30" t="e">
        <f>#REF!</f>
        <v>#REF!</v>
      </c>
      <c r="ED30" t="e">
        <f>#REF!</f>
        <v>#REF!</v>
      </c>
      <c r="EE30" t="e">
        <f>#REF!</f>
        <v>#REF!</v>
      </c>
      <c r="EF30" t="e">
        <f>#REF!</f>
        <v>#REF!</v>
      </c>
      <c r="EG30" t="e">
        <f>#REF!</f>
        <v>#REF!</v>
      </c>
      <c r="EH30" t="e">
        <f>#REF!</f>
        <v>#REF!</v>
      </c>
      <c r="EI30" t="e">
        <f>#REF!</f>
        <v>#REF!</v>
      </c>
      <c r="EJ30" t="e">
        <f>#REF!</f>
        <v>#REF!</v>
      </c>
      <c r="EK30" t="e">
        <f>#REF!</f>
        <v>#REF!</v>
      </c>
      <c r="EL30" t="e">
        <f>#REF!</f>
        <v>#REF!</v>
      </c>
      <c r="EM30" t="e">
        <f>#REF!</f>
        <v>#REF!</v>
      </c>
      <c r="EN30" t="e">
        <f>#REF!</f>
        <v>#REF!</v>
      </c>
      <c r="EO30" t="e">
        <f>#REF!</f>
        <v>#REF!</v>
      </c>
      <c r="EP30" t="e">
        <f>#REF!</f>
        <v>#REF!</v>
      </c>
      <c r="EQ30" t="e">
        <f>#REF!</f>
        <v>#REF!</v>
      </c>
      <c r="ER30" t="e">
        <f>#REF!</f>
        <v>#REF!</v>
      </c>
      <c r="ES30" t="e">
        <f>#REF!</f>
        <v>#REF!</v>
      </c>
      <c r="ET30" t="e">
        <f>#REF!</f>
        <v>#REF!</v>
      </c>
      <c r="EU30" t="e">
        <f>#REF!</f>
        <v>#REF!</v>
      </c>
      <c r="EV30" t="e">
        <f>#REF!</f>
        <v>#REF!</v>
      </c>
      <c r="EW30" t="e">
        <f>#REF!</f>
        <v>#REF!</v>
      </c>
      <c r="EX30" t="e">
        <f>#REF!</f>
        <v>#REF!</v>
      </c>
      <c r="EY30" t="e">
        <f>#REF!</f>
        <v>#REF!</v>
      </c>
      <c r="EZ30" t="e">
        <f>#REF!</f>
        <v>#REF!</v>
      </c>
      <c r="FA30" t="e">
        <f>#REF!</f>
        <v>#REF!</v>
      </c>
      <c r="FB30" t="e">
        <f>#REF!</f>
        <v>#REF!</v>
      </c>
      <c r="FC30" t="e">
        <f>#REF!</f>
        <v>#REF!</v>
      </c>
      <c r="FD30" t="e">
        <f>#REF!</f>
        <v>#REF!</v>
      </c>
      <c r="FE30" t="e">
        <f>#REF!</f>
        <v>#REF!</v>
      </c>
      <c r="FF30" t="e">
        <f>#REF!</f>
        <v>#REF!</v>
      </c>
      <c r="FG30" t="e">
        <f>#REF!</f>
        <v>#REF!</v>
      </c>
      <c r="FH30" t="e">
        <f>#REF!</f>
        <v>#REF!</v>
      </c>
      <c r="FI30" t="e">
        <f>#REF!</f>
        <v>#REF!</v>
      </c>
      <c r="FJ30" t="e">
        <f>#REF!</f>
        <v>#REF!</v>
      </c>
      <c r="FK30" t="e">
        <f>#REF!</f>
        <v>#REF!</v>
      </c>
      <c r="FL30" t="e">
        <f>#REF!</f>
        <v>#REF!</v>
      </c>
      <c r="FM30" t="e">
        <f>#REF!</f>
        <v>#REF!</v>
      </c>
      <c r="FN30" t="e">
        <f>#REF!</f>
        <v>#REF!</v>
      </c>
    </row>
    <row r="31" spans="1:170" ht="15" x14ac:dyDescent="0.25">
      <c r="A31" s="619">
        <v>1</v>
      </c>
      <c r="B31" s="133" t="e">
        <f>RIGHT(#REF!,LEN(#REF!)-(FIND("Standards",#REF!,1)+9))</f>
        <v>#REF!</v>
      </c>
      <c r="C31" s="620" t="e">
        <f>#REF!</f>
        <v>#REF!</v>
      </c>
      <c r="D31" s="620">
        <v>72686</v>
      </c>
      <c r="E31" s="621" t="e">
        <f>#REF!</f>
        <v>#REF!</v>
      </c>
      <c r="F31" s="621" t="e">
        <f>#REF!</f>
        <v>#REF!</v>
      </c>
      <c r="G31" s="619" t="e">
        <f>#REF!</f>
        <v>#REF!</v>
      </c>
      <c r="H31" s="619" t="e">
        <f>#REF!</f>
        <v>#REF!</v>
      </c>
      <c r="I31" s="621" t="e">
        <f>#REF!</f>
        <v>#REF!</v>
      </c>
      <c r="J31" s="619" t="e">
        <f>#REF!</f>
        <v>#REF!</v>
      </c>
      <c r="K31" s="621" t="e">
        <f>#REF!</f>
        <v>#REF!</v>
      </c>
      <c r="L31" s="622" t="e">
        <f>#REF!</f>
        <v>#REF!</v>
      </c>
      <c r="M31" s="622" t="e">
        <f>#REF!</f>
        <v>#REF!</v>
      </c>
      <c r="N31" t="e">
        <f>#REF!</f>
        <v>#REF!</v>
      </c>
      <c r="O31" t="e">
        <f>#REF!</f>
        <v>#REF!</v>
      </c>
      <c r="P31" t="e">
        <f>#REF!</f>
        <v>#REF!</v>
      </c>
      <c r="Q31" s="136" t="e">
        <f>#REF!</f>
        <v>#REF!</v>
      </c>
      <c r="R31" s="136" t="e">
        <f>#REF!</f>
        <v>#REF!</v>
      </c>
      <c r="S31" s="136" t="e">
        <f>#REF!</f>
        <v>#REF!</v>
      </c>
      <c r="T31" s="136" t="e">
        <f>#REF!</f>
        <v>#REF!</v>
      </c>
      <c r="U31" s="136" t="e">
        <f>#REF!</f>
        <v>#REF!</v>
      </c>
      <c r="V31" s="136" t="e">
        <f>#REF!</f>
        <v>#REF!</v>
      </c>
      <c r="W31" s="136" t="e">
        <f>#REF!</f>
        <v>#REF!</v>
      </c>
      <c r="X31" s="136" t="e">
        <f>#REF!</f>
        <v>#REF!</v>
      </c>
      <c r="Y31" s="136" t="e">
        <f>#REF!</f>
        <v>#REF!</v>
      </c>
      <c r="Z31" s="136" t="e">
        <f>#REF!</f>
        <v>#REF!</v>
      </c>
      <c r="AA31" s="136" t="e">
        <f>#REF!</f>
        <v>#REF!</v>
      </c>
      <c r="AB31" s="136" t="e">
        <f>#REF!</f>
        <v>#REF!</v>
      </c>
      <c r="AC31" s="136" t="e">
        <f>#REF!</f>
        <v>#REF!</v>
      </c>
      <c r="AD31" s="136" t="e">
        <f>#REF!</f>
        <v>#REF!</v>
      </c>
      <c r="AE31" s="136" t="e">
        <f>#REF!</f>
        <v>#REF!</v>
      </c>
      <c r="AF31" s="136" t="e">
        <f>#REF!</f>
        <v>#REF!</v>
      </c>
      <c r="AG31" s="136" t="e">
        <f>#REF!</f>
        <v>#REF!</v>
      </c>
      <c r="AH31" s="136" t="e">
        <f>#REF!</f>
        <v>#REF!</v>
      </c>
      <c r="AI31" s="136" t="e">
        <f>#REF!</f>
        <v>#REF!</v>
      </c>
      <c r="AJ31" s="136" t="e">
        <f>#REF!</f>
        <v>#REF!</v>
      </c>
      <c r="AK31" s="136" t="e">
        <f>#REF!</f>
        <v>#REF!</v>
      </c>
      <c r="AL31" s="136"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s="137" t="e">
        <f>#REF!</f>
        <v>#REF!</v>
      </c>
      <c r="BO31" s="137" t="e">
        <f>#REF!</f>
        <v>#REF!</v>
      </c>
      <c r="BP31" s="137" t="e">
        <f>#REF!</f>
        <v>#REF!</v>
      </c>
      <c r="BQ31" s="137" t="e">
        <f>#REF!</f>
        <v>#REF!</v>
      </c>
      <c r="BR31" s="137" t="e">
        <f>#REF!</f>
        <v>#REF!</v>
      </c>
      <c r="BS31" s="137" t="e">
        <f>#REF!</f>
        <v>#REF!</v>
      </c>
      <c r="BT31" s="137" t="e">
        <f>#REF!</f>
        <v>#REF!</v>
      </c>
      <c r="BU31" s="137" t="e">
        <f>#REF!</f>
        <v>#REF!</v>
      </c>
      <c r="BV31" s="137" t="e">
        <f>#REF!</f>
        <v>#REF!</v>
      </c>
      <c r="BW31" s="137" t="e">
        <f>#REF!</f>
        <v>#REF!</v>
      </c>
      <c r="BX31" s="137" t="e">
        <f>#REF!</f>
        <v>#REF!</v>
      </c>
      <c r="BY31" s="137" t="e">
        <f>#REF!</f>
        <v>#REF!</v>
      </c>
      <c r="BZ31" s="137" t="e">
        <f>#REF!</f>
        <v>#REF!</v>
      </c>
      <c r="CA31" s="137" t="e">
        <f>#REF!</f>
        <v>#REF!</v>
      </c>
      <c r="CB31" t="e">
        <f>#REF!</f>
        <v>#REF!</v>
      </c>
      <c r="CC31" t="e">
        <f>#REF!</f>
        <v>#REF!</v>
      </c>
      <c r="CD31" t="e">
        <f>#REF!</f>
        <v>#REF!</v>
      </c>
      <c r="CE31" t="e">
        <f>#REF!</f>
        <v>#REF!</v>
      </c>
      <c r="CF31" t="e">
        <f>#REF!</f>
        <v>#REF!</v>
      </c>
      <c r="CG31" t="e">
        <f>#REF!</f>
        <v>#REF!</v>
      </c>
      <c r="CH31" t="e">
        <f>#REF!</f>
        <v>#REF!</v>
      </c>
      <c r="CI31" t="e">
        <f>#REF!</f>
        <v>#REF!</v>
      </c>
      <c r="CJ31" s="136" t="e">
        <f>#REF!</f>
        <v>#REF!</v>
      </c>
      <c r="CK31" s="136" t="e">
        <f>#REF!</f>
        <v>#REF!</v>
      </c>
      <c r="CL31">
        <v>0</v>
      </c>
      <c r="CM31">
        <v>0</v>
      </c>
      <c r="CN31">
        <v>0</v>
      </c>
      <c r="CO31">
        <v>0</v>
      </c>
      <c r="CP31" t="e">
        <f>#REF!</f>
        <v>#REF!</v>
      </c>
      <c r="CQ31" t="e">
        <f>#REF!</f>
        <v>#REF!</v>
      </c>
      <c r="CR31" t="e">
        <f>#REF!</f>
        <v>#REF!</v>
      </c>
      <c r="CS31" t="e">
        <f>#REF!</f>
        <v>#REF!</v>
      </c>
      <c r="CT31" t="e">
        <f>#REF!</f>
        <v>#REF!</v>
      </c>
      <c r="CU31" t="e">
        <f>#REF!</f>
        <v>#REF!</v>
      </c>
      <c r="CV31" t="e">
        <f>#REF!</f>
        <v>#REF!</v>
      </c>
      <c r="CW31" t="e">
        <f>#REF!</f>
        <v>#REF!</v>
      </c>
      <c r="CX31" t="e">
        <f>#REF!</f>
        <v>#REF!</v>
      </c>
      <c r="CY31" t="e">
        <f>#REF!</f>
        <v>#REF!</v>
      </c>
      <c r="CZ31" t="e">
        <f>#REF!</f>
        <v>#REF!</v>
      </c>
      <c r="DA31" t="e">
        <f>#REF!</f>
        <v>#REF!</v>
      </c>
      <c r="DB31" t="e">
        <f>#REF!</f>
        <v>#REF!</v>
      </c>
      <c r="DC31" t="e">
        <f>#REF!</f>
        <v>#REF!</v>
      </c>
      <c r="DD31" t="e">
        <f>#REF!</f>
        <v>#REF!</v>
      </c>
      <c r="DE31" t="e">
        <f>#REF!</f>
        <v>#REF!</v>
      </c>
      <c r="DF31" t="e">
        <f>#REF!</f>
        <v>#REF!</v>
      </c>
      <c r="DG31" t="e">
        <f>#REF!</f>
        <v>#REF!</v>
      </c>
      <c r="DH31" t="e">
        <f>#REF!</f>
        <v>#REF!</v>
      </c>
      <c r="DI31" t="e">
        <f>#REF!</f>
        <v>#REF!</v>
      </c>
      <c r="DJ31" t="e">
        <f>#REF!</f>
        <v>#REF!</v>
      </c>
      <c r="DK31" t="e">
        <f>#REF!</f>
        <v>#REF!</v>
      </c>
      <c r="DL31" t="e">
        <f>#REF!</f>
        <v>#REF!</v>
      </c>
      <c r="DM31" t="e">
        <f>#REF!</f>
        <v>#REF!</v>
      </c>
      <c r="DN31" t="e">
        <f>#REF!</f>
        <v>#REF!</v>
      </c>
      <c r="DO31" t="e">
        <f>#REF!</f>
        <v>#REF!</v>
      </c>
      <c r="DP31" t="e">
        <f>#REF!</f>
        <v>#REF!</v>
      </c>
      <c r="DQ31" t="e">
        <f>#REF!</f>
        <v>#REF!</v>
      </c>
      <c r="DR31" t="e">
        <f>#REF!</f>
        <v>#REF!</v>
      </c>
      <c r="DS31" t="e">
        <f>#REF!</f>
        <v>#REF!</v>
      </c>
      <c r="DT31" t="e">
        <f>#REF!</f>
        <v>#REF!</v>
      </c>
      <c r="DU31" t="e">
        <f>#REF!</f>
        <v>#REF!</v>
      </c>
      <c r="DV31" t="e">
        <f>#REF!</f>
        <v>#REF!</v>
      </c>
      <c r="DW31" t="e">
        <f>#REF!</f>
        <v>#REF!</v>
      </c>
      <c r="DX31" t="e">
        <f>#REF!</f>
        <v>#REF!</v>
      </c>
      <c r="DY31" t="e">
        <f>#REF!</f>
        <v>#REF!</v>
      </c>
      <c r="DZ31" t="e">
        <f>#REF!</f>
        <v>#REF!</v>
      </c>
      <c r="EA31" t="e">
        <f>#REF!</f>
        <v>#REF!</v>
      </c>
      <c r="EB31" t="e">
        <f>#REF!</f>
        <v>#REF!</v>
      </c>
      <c r="EC31" t="e">
        <f>#REF!</f>
        <v>#REF!</v>
      </c>
      <c r="ED31" t="e">
        <f>#REF!</f>
        <v>#REF!</v>
      </c>
      <c r="EE31" t="e">
        <f>#REF!</f>
        <v>#REF!</v>
      </c>
      <c r="EF31" t="e">
        <f>#REF!</f>
        <v>#REF!</v>
      </c>
      <c r="EG31" t="e">
        <f>#REF!</f>
        <v>#REF!</v>
      </c>
      <c r="EH31" t="e">
        <f>#REF!</f>
        <v>#REF!</v>
      </c>
      <c r="EI31" t="e">
        <f>#REF!</f>
        <v>#REF!</v>
      </c>
      <c r="EJ31" t="e">
        <f>#REF!</f>
        <v>#REF!</v>
      </c>
      <c r="EK31" t="e">
        <f>#REF!</f>
        <v>#REF!</v>
      </c>
      <c r="EL31" t="e">
        <f>#REF!</f>
        <v>#REF!</v>
      </c>
      <c r="EM31" t="e">
        <f>#REF!</f>
        <v>#REF!</v>
      </c>
      <c r="EN31" t="e">
        <f>#REF!</f>
        <v>#REF!</v>
      </c>
      <c r="EO31" t="e">
        <f>#REF!</f>
        <v>#REF!</v>
      </c>
      <c r="EP31" t="e">
        <f>#REF!</f>
        <v>#REF!</v>
      </c>
      <c r="EQ31" t="e">
        <f>#REF!</f>
        <v>#REF!</v>
      </c>
      <c r="ER31" t="e">
        <f>#REF!</f>
        <v>#REF!</v>
      </c>
      <c r="ES31" t="e">
        <f>#REF!</f>
        <v>#REF!</v>
      </c>
      <c r="ET31" t="e">
        <f>#REF!</f>
        <v>#REF!</v>
      </c>
      <c r="EU31" t="e">
        <f>#REF!</f>
        <v>#REF!</v>
      </c>
      <c r="EV31" t="e">
        <f>#REF!</f>
        <v>#REF!</v>
      </c>
      <c r="EW31" t="e">
        <f>#REF!</f>
        <v>#REF!</v>
      </c>
      <c r="EX31" t="e">
        <f>#REF!</f>
        <v>#REF!</v>
      </c>
      <c r="EY31" t="e">
        <f>#REF!</f>
        <v>#REF!</v>
      </c>
      <c r="EZ31" t="e">
        <f>#REF!</f>
        <v>#REF!</v>
      </c>
      <c r="FA31" t="e">
        <f>#REF!</f>
        <v>#REF!</v>
      </c>
      <c r="FB31" t="e">
        <f>#REF!</f>
        <v>#REF!</v>
      </c>
      <c r="FC31" t="e">
        <f>#REF!</f>
        <v>#REF!</v>
      </c>
      <c r="FD31" t="e">
        <f>#REF!</f>
        <v>#REF!</v>
      </c>
      <c r="FE31" t="e">
        <f>#REF!</f>
        <v>#REF!</v>
      </c>
      <c r="FF31" t="e">
        <f>#REF!</f>
        <v>#REF!</v>
      </c>
      <c r="FG31" t="e">
        <f>#REF!</f>
        <v>#REF!</v>
      </c>
      <c r="FH31" t="e">
        <f>#REF!</f>
        <v>#REF!</v>
      </c>
      <c r="FI31" t="e">
        <f>#REF!</f>
        <v>#REF!</v>
      </c>
      <c r="FJ31" t="e">
        <f>#REF!</f>
        <v>#REF!</v>
      </c>
      <c r="FK31" t="e">
        <f>#REF!</f>
        <v>#REF!</v>
      </c>
      <c r="FL31" t="e">
        <f>#REF!</f>
        <v>#REF!</v>
      </c>
      <c r="FM31" t="e">
        <f>#REF!</f>
        <v>#REF!</v>
      </c>
      <c r="FN31" t="e">
        <f>#REF!</f>
        <v>#REF!</v>
      </c>
    </row>
    <row r="32" spans="1:170" ht="15" x14ac:dyDescent="0.25">
      <c r="A32" s="619">
        <v>1</v>
      </c>
      <c r="B32" s="133" t="e">
        <f>RIGHT(#REF!,LEN(#REF!)-(FIND("Standards",#REF!,1)+9))</f>
        <v>#REF!</v>
      </c>
      <c r="C32" s="620" t="e">
        <f>#REF!</f>
        <v>#REF!</v>
      </c>
      <c r="D32" s="620">
        <v>72687</v>
      </c>
      <c r="E32" s="621" t="e">
        <f>#REF!</f>
        <v>#REF!</v>
      </c>
      <c r="F32" s="621" t="e">
        <f>#REF!</f>
        <v>#REF!</v>
      </c>
      <c r="G32" s="619" t="e">
        <f>#REF!</f>
        <v>#REF!</v>
      </c>
      <c r="H32" s="619" t="e">
        <f>#REF!</f>
        <v>#REF!</v>
      </c>
      <c r="I32" s="621" t="e">
        <f>#REF!</f>
        <v>#REF!</v>
      </c>
      <c r="J32" s="619" t="e">
        <f>#REF!</f>
        <v>#REF!</v>
      </c>
      <c r="K32" s="621" t="e">
        <f>#REF!</f>
        <v>#REF!</v>
      </c>
      <c r="L32" s="622" t="e">
        <f>#REF!</f>
        <v>#REF!</v>
      </c>
      <c r="M32" s="622" t="e">
        <f>#REF!</f>
        <v>#REF!</v>
      </c>
      <c r="N32" t="e">
        <f>#REF!</f>
        <v>#REF!</v>
      </c>
      <c r="O32" t="e">
        <f>#REF!</f>
        <v>#REF!</v>
      </c>
      <c r="P32" t="e">
        <f>#REF!</f>
        <v>#REF!</v>
      </c>
      <c r="Q32" s="136" t="e">
        <f>#REF!</f>
        <v>#REF!</v>
      </c>
      <c r="R32" s="136" t="e">
        <f>#REF!</f>
        <v>#REF!</v>
      </c>
      <c r="S32" s="136" t="e">
        <f>#REF!</f>
        <v>#REF!</v>
      </c>
      <c r="T32" s="136" t="e">
        <f>#REF!</f>
        <v>#REF!</v>
      </c>
      <c r="U32" s="136" t="e">
        <f>#REF!</f>
        <v>#REF!</v>
      </c>
      <c r="V32" s="136" t="e">
        <f>#REF!</f>
        <v>#REF!</v>
      </c>
      <c r="W32" s="136" t="e">
        <f>#REF!</f>
        <v>#REF!</v>
      </c>
      <c r="X32" s="136" t="e">
        <f>#REF!</f>
        <v>#REF!</v>
      </c>
      <c r="Y32" s="136" t="e">
        <f>#REF!</f>
        <v>#REF!</v>
      </c>
      <c r="Z32" s="136" t="e">
        <f>#REF!</f>
        <v>#REF!</v>
      </c>
      <c r="AA32" s="136" t="e">
        <f>#REF!</f>
        <v>#REF!</v>
      </c>
      <c r="AB32" s="136" t="e">
        <f>#REF!</f>
        <v>#REF!</v>
      </c>
      <c r="AC32" s="136" t="e">
        <f>#REF!</f>
        <v>#REF!</v>
      </c>
      <c r="AD32" s="136" t="e">
        <f>#REF!</f>
        <v>#REF!</v>
      </c>
      <c r="AE32" s="136" t="e">
        <f>#REF!</f>
        <v>#REF!</v>
      </c>
      <c r="AF32" s="136" t="e">
        <f>#REF!</f>
        <v>#REF!</v>
      </c>
      <c r="AG32" s="136" t="e">
        <f>#REF!</f>
        <v>#REF!</v>
      </c>
      <c r="AH32" s="136" t="e">
        <f>#REF!</f>
        <v>#REF!</v>
      </c>
      <c r="AI32" s="136" t="e">
        <f>#REF!</f>
        <v>#REF!</v>
      </c>
      <c r="AJ32" s="136" t="e">
        <f>#REF!</f>
        <v>#REF!</v>
      </c>
      <c r="AK32" s="136" t="e">
        <f>#REF!</f>
        <v>#REF!</v>
      </c>
      <c r="AL32" s="136"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s="137" t="e">
        <f>#REF!</f>
        <v>#REF!</v>
      </c>
      <c r="BO32" s="137" t="e">
        <f>#REF!</f>
        <v>#REF!</v>
      </c>
      <c r="BP32" s="137" t="e">
        <f>#REF!</f>
        <v>#REF!</v>
      </c>
      <c r="BQ32" s="137" t="e">
        <f>#REF!</f>
        <v>#REF!</v>
      </c>
      <c r="BR32" s="137" t="e">
        <f>#REF!</f>
        <v>#REF!</v>
      </c>
      <c r="BS32" s="137" t="e">
        <f>#REF!</f>
        <v>#REF!</v>
      </c>
      <c r="BT32" s="137" t="e">
        <f>#REF!</f>
        <v>#REF!</v>
      </c>
      <c r="BU32" s="137" t="e">
        <f>#REF!</f>
        <v>#REF!</v>
      </c>
      <c r="BV32" s="137" t="e">
        <f>#REF!</f>
        <v>#REF!</v>
      </c>
      <c r="BW32" s="137" t="e">
        <f>#REF!</f>
        <v>#REF!</v>
      </c>
      <c r="BX32" s="137" t="e">
        <f>#REF!</f>
        <v>#REF!</v>
      </c>
      <c r="BY32" s="137" t="e">
        <f>#REF!</f>
        <v>#REF!</v>
      </c>
      <c r="BZ32" s="137" t="e">
        <f>#REF!</f>
        <v>#REF!</v>
      </c>
      <c r="CA32" s="137" t="e">
        <f>#REF!</f>
        <v>#REF!</v>
      </c>
      <c r="CB32" t="e">
        <f>#REF!</f>
        <v>#REF!</v>
      </c>
      <c r="CC32" t="e">
        <f>#REF!</f>
        <v>#REF!</v>
      </c>
      <c r="CD32" t="e">
        <f>#REF!</f>
        <v>#REF!</v>
      </c>
      <c r="CE32" t="e">
        <f>#REF!</f>
        <v>#REF!</v>
      </c>
      <c r="CF32" t="e">
        <f>#REF!</f>
        <v>#REF!</v>
      </c>
      <c r="CG32" t="e">
        <f>#REF!</f>
        <v>#REF!</v>
      </c>
      <c r="CH32" t="e">
        <f>#REF!</f>
        <v>#REF!</v>
      </c>
      <c r="CI32" t="e">
        <f>#REF!</f>
        <v>#REF!</v>
      </c>
      <c r="CJ32" s="136" t="e">
        <f>#REF!</f>
        <v>#REF!</v>
      </c>
      <c r="CK32" s="136" t="e">
        <f>#REF!</f>
        <v>#REF!</v>
      </c>
      <c r="CL32">
        <v>0</v>
      </c>
      <c r="CM32">
        <v>0</v>
      </c>
      <c r="CN32">
        <v>0</v>
      </c>
      <c r="CO32">
        <v>0</v>
      </c>
      <c r="CP32" t="e">
        <f>#REF!</f>
        <v>#REF!</v>
      </c>
      <c r="CQ32" t="e">
        <f>#REF!</f>
        <v>#REF!</v>
      </c>
      <c r="CR32" t="e">
        <f>#REF!</f>
        <v>#REF!</v>
      </c>
      <c r="CS32" t="e">
        <f>#REF!</f>
        <v>#REF!</v>
      </c>
      <c r="CT32" t="e">
        <f>#REF!</f>
        <v>#REF!</v>
      </c>
      <c r="CU32" t="e">
        <f>#REF!</f>
        <v>#REF!</v>
      </c>
      <c r="CV32" t="e">
        <f>#REF!</f>
        <v>#REF!</v>
      </c>
      <c r="CW32" t="e">
        <f>#REF!</f>
        <v>#REF!</v>
      </c>
      <c r="CX32" t="e">
        <f>#REF!</f>
        <v>#REF!</v>
      </c>
      <c r="CY32" t="e">
        <f>#REF!</f>
        <v>#REF!</v>
      </c>
      <c r="CZ32" t="e">
        <f>#REF!</f>
        <v>#REF!</v>
      </c>
      <c r="DA32" t="e">
        <f>#REF!</f>
        <v>#REF!</v>
      </c>
      <c r="DB32" t="e">
        <f>#REF!</f>
        <v>#REF!</v>
      </c>
      <c r="DC32" t="e">
        <f>#REF!</f>
        <v>#REF!</v>
      </c>
      <c r="DD32" t="e">
        <f>#REF!</f>
        <v>#REF!</v>
      </c>
      <c r="DE32" t="e">
        <f>#REF!</f>
        <v>#REF!</v>
      </c>
      <c r="DF32" t="e">
        <f>#REF!</f>
        <v>#REF!</v>
      </c>
      <c r="DG32" t="e">
        <f>#REF!</f>
        <v>#REF!</v>
      </c>
      <c r="DH32" t="e">
        <f>#REF!</f>
        <v>#REF!</v>
      </c>
      <c r="DI32" t="e">
        <f>#REF!</f>
        <v>#REF!</v>
      </c>
      <c r="DJ32" t="e">
        <f>#REF!</f>
        <v>#REF!</v>
      </c>
      <c r="DK32" t="e">
        <f>#REF!</f>
        <v>#REF!</v>
      </c>
      <c r="DL32" t="e">
        <f>#REF!</f>
        <v>#REF!</v>
      </c>
      <c r="DM32" t="e">
        <f>#REF!</f>
        <v>#REF!</v>
      </c>
      <c r="DN32" t="e">
        <f>#REF!</f>
        <v>#REF!</v>
      </c>
      <c r="DO32" t="e">
        <f>#REF!</f>
        <v>#REF!</v>
      </c>
      <c r="DP32" t="e">
        <f>#REF!</f>
        <v>#REF!</v>
      </c>
      <c r="DQ32" t="e">
        <f>#REF!</f>
        <v>#REF!</v>
      </c>
      <c r="DR32" t="e">
        <f>#REF!</f>
        <v>#REF!</v>
      </c>
      <c r="DS32" t="e">
        <f>#REF!</f>
        <v>#REF!</v>
      </c>
      <c r="DT32" t="e">
        <f>#REF!</f>
        <v>#REF!</v>
      </c>
      <c r="DU32" t="e">
        <f>#REF!</f>
        <v>#REF!</v>
      </c>
      <c r="DV32" t="e">
        <f>#REF!</f>
        <v>#REF!</v>
      </c>
      <c r="DW32" t="e">
        <f>#REF!</f>
        <v>#REF!</v>
      </c>
      <c r="DX32" t="e">
        <f>#REF!</f>
        <v>#REF!</v>
      </c>
      <c r="DY32" t="e">
        <f>#REF!</f>
        <v>#REF!</v>
      </c>
      <c r="DZ32" t="e">
        <f>#REF!</f>
        <v>#REF!</v>
      </c>
      <c r="EA32" t="e">
        <f>#REF!</f>
        <v>#REF!</v>
      </c>
      <c r="EB32" t="e">
        <f>#REF!</f>
        <v>#REF!</v>
      </c>
      <c r="EC32" t="e">
        <f>#REF!</f>
        <v>#REF!</v>
      </c>
      <c r="ED32" t="e">
        <f>#REF!</f>
        <v>#REF!</v>
      </c>
      <c r="EE32" t="e">
        <f>#REF!</f>
        <v>#REF!</v>
      </c>
      <c r="EF32" t="e">
        <f>#REF!</f>
        <v>#REF!</v>
      </c>
      <c r="EG32" t="e">
        <f>#REF!</f>
        <v>#REF!</v>
      </c>
      <c r="EH32" t="e">
        <f>#REF!</f>
        <v>#REF!</v>
      </c>
      <c r="EI32" t="e">
        <f>#REF!</f>
        <v>#REF!</v>
      </c>
      <c r="EJ32" t="e">
        <f>#REF!</f>
        <v>#REF!</v>
      </c>
      <c r="EK32" t="e">
        <f>#REF!</f>
        <v>#REF!</v>
      </c>
      <c r="EL32" t="e">
        <f>#REF!</f>
        <v>#REF!</v>
      </c>
      <c r="EM32" t="e">
        <f>#REF!</f>
        <v>#REF!</v>
      </c>
      <c r="EN32" t="e">
        <f>#REF!</f>
        <v>#REF!</v>
      </c>
      <c r="EO32" t="e">
        <f>#REF!</f>
        <v>#REF!</v>
      </c>
      <c r="EP32" t="e">
        <f>#REF!</f>
        <v>#REF!</v>
      </c>
      <c r="EQ32" t="e">
        <f>#REF!</f>
        <v>#REF!</v>
      </c>
      <c r="ER32" t="e">
        <f>#REF!</f>
        <v>#REF!</v>
      </c>
      <c r="ES32" t="e">
        <f>#REF!</f>
        <v>#REF!</v>
      </c>
      <c r="ET32" t="e">
        <f>#REF!</f>
        <v>#REF!</v>
      </c>
      <c r="EU32" t="e">
        <f>#REF!</f>
        <v>#REF!</v>
      </c>
      <c r="EV32" t="e">
        <f>#REF!</f>
        <v>#REF!</v>
      </c>
      <c r="EW32" t="e">
        <f>#REF!</f>
        <v>#REF!</v>
      </c>
      <c r="EX32" t="e">
        <f>#REF!</f>
        <v>#REF!</v>
      </c>
      <c r="EY32" t="e">
        <f>#REF!</f>
        <v>#REF!</v>
      </c>
      <c r="EZ32" t="e">
        <f>#REF!</f>
        <v>#REF!</v>
      </c>
      <c r="FA32" t="e">
        <f>#REF!</f>
        <v>#REF!</v>
      </c>
      <c r="FB32" t="e">
        <f>#REF!</f>
        <v>#REF!</v>
      </c>
      <c r="FC32" t="e">
        <f>#REF!</f>
        <v>#REF!</v>
      </c>
      <c r="FD32" t="e">
        <f>#REF!</f>
        <v>#REF!</v>
      </c>
      <c r="FE32" t="e">
        <f>#REF!</f>
        <v>#REF!</v>
      </c>
      <c r="FF32" t="e">
        <f>#REF!</f>
        <v>#REF!</v>
      </c>
      <c r="FG32" t="e">
        <f>#REF!</f>
        <v>#REF!</v>
      </c>
      <c r="FH32" t="e">
        <f>#REF!</f>
        <v>#REF!</v>
      </c>
      <c r="FI32" t="e">
        <f>#REF!</f>
        <v>#REF!</v>
      </c>
      <c r="FJ32" t="e">
        <f>#REF!</f>
        <v>#REF!</v>
      </c>
      <c r="FK32" t="e">
        <f>#REF!</f>
        <v>#REF!</v>
      </c>
      <c r="FL32" t="e">
        <f>#REF!</f>
        <v>#REF!</v>
      </c>
      <c r="FM32" t="e">
        <f>#REF!</f>
        <v>#REF!</v>
      </c>
      <c r="FN32" t="e">
        <f>#REF!</f>
        <v>#REF!</v>
      </c>
    </row>
    <row r="33" spans="1:170" s="139" customFormat="1" ht="15" x14ac:dyDescent="0.25">
      <c r="A33" s="623">
        <v>1</v>
      </c>
      <c r="B33" s="138" t="e">
        <f>RIGHT(#REF!,LEN(#REF!)-(FIND("Standards",#REF!,1)+9))</f>
        <v>#REF!</v>
      </c>
      <c r="C33" s="624" t="e">
        <f>#REF!</f>
        <v>#REF!</v>
      </c>
      <c r="D33" s="624">
        <v>72688</v>
      </c>
      <c r="E33" s="625" t="e">
        <f>#REF!</f>
        <v>#REF!</v>
      </c>
      <c r="F33" s="625" t="e">
        <f>#REF!</f>
        <v>#REF!</v>
      </c>
      <c r="G33" s="623" t="e">
        <f>#REF!</f>
        <v>#REF!</v>
      </c>
      <c r="H33" s="623" t="e">
        <f>#REF!</f>
        <v>#REF!</v>
      </c>
      <c r="I33" s="625" t="e">
        <f>#REF!</f>
        <v>#REF!</v>
      </c>
      <c r="J33" s="623" t="e">
        <f>#REF!</f>
        <v>#REF!</v>
      </c>
      <c r="K33" s="625" t="e">
        <f>#REF!</f>
        <v>#REF!</v>
      </c>
      <c r="L33" s="626" t="e">
        <f>#REF!</f>
        <v>#REF!</v>
      </c>
      <c r="M33" s="626" t="e">
        <f>#REF!</f>
        <v>#REF!</v>
      </c>
      <c r="N33" s="139" t="e">
        <f>#REF!</f>
        <v>#REF!</v>
      </c>
      <c r="O33" s="139" t="e">
        <f>#REF!</f>
        <v>#REF!</v>
      </c>
      <c r="P33" s="139" t="e">
        <f>#REF!</f>
        <v>#REF!</v>
      </c>
      <c r="Q33" s="140" t="e">
        <f>#REF!</f>
        <v>#REF!</v>
      </c>
      <c r="R33" s="140" t="e">
        <f>#REF!</f>
        <v>#REF!</v>
      </c>
      <c r="S33" s="140" t="e">
        <f>#REF!</f>
        <v>#REF!</v>
      </c>
      <c r="T33" s="140" t="e">
        <f>#REF!</f>
        <v>#REF!</v>
      </c>
      <c r="U33" s="140" t="e">
        <f>#REF!</f>
        <v>#REF!</v>
      </c>
      <c r="V33" s="140" t="e">
        <f>#REF!</f>
        <v>#REF!</v>
      </c>
      <c r="W33" s="140" t="e">
        <f>#REF!</f>
        <v>#REF!</v>
      </c>
      <c r="X33" s="140" t="e">
        <f>#REF!</f>
        <v>#REF!</v>
      </c>
      <c r="Y33" s="140" t="e">
        <f>#REF!</f>
        <v>#REF!</v>
      </c>
      <c r="Z33" s="140" t="e">
        <f>#REF!</f>
        <v>#REF!</v>
      </c>
      <c r="AA33" s="140" t="e">
        <f>#REF!</f>
        <v>#REF!</v>
      </c>
      <c r="AB33" s="140" t="e">
        <f>#REF!</f>
        <v>#REF!</v>
      </c>
      <c r="AC33" s="140" t="e">
        <f>#REF!</f>
        <v>#REF!</v>
      </c>
      <c r="AD33" s="140" t="e">
        <f>#REF!</f>
        <v>#REF!</v>
      </c>
      <c r="AE33" s="140" t="e">
        <f>#REF!</f>
        <v>#REF!</v>
      </c>
      <c r="AF33" s="140" t="e">
        <f>#REF!</f>
        <v>#REF!</v>
      </c>
      <c r="AG33" s="140" t="e">
        <f>#REF!</f>
        <v>#REF!</v>
      </c>
      <c r="AH33" s="140" t="e">
        <f>#REF!</f>
        <v>#REF!</v>
      </c>
      <c r="AI33" s="140" t="e">
        <f>#REF!</f>
        <v>#REF!</v>
      </c>
      <c r="AJ33" s="140" t="e">
        <f>#REF!</f>
        <v>#REF!</v>
      </c>
      <c r="AK33" s="140" t="e">
        <f>#REF!</f>
        <v>#REF!</v>
      </c>
      <c r="AL33" s="140" t="e">
        <f>#REF!</f>
        <v>#REF!</v>
      </c>
      <c r="AM33" s="139" t="e">
        <f>#REF!</f>
        <v>#REF!</v>
      </c>
      <c r="AN33" s="139" t="e">
        <f>#REF!</f>
        <v>#REF!</v>
      </c>
      <c r="AO33" s="139" t="e">
        <f>#REF!</f>
        <v>#REF!</v>
      </c>
      <c r="AP33" s="139" t="e">
        <f>#REF!</f>
        <v>#REF!</v>
      </c>
      <c r="AQ33" s="139" t="e">
        <f>#REF!</f>
        <v>#REF!</v>
      </c>
      <c r="AR33" s="139" t="e">
        <f>#REF!</f>
        <v>#REF!</v>
      </c>
      <c r="AS33" s="139" t="e">
        <f>#REF!</f>
        <v>#REF!</v>
      </c>
      <c r="AT33" s="139" t="e">
        <f>#REF!</f>
        <v>#REF!</v>
      </c>
      <c r="AU33" s="139" t="e">
        <f>#REF!</f>
        <v>#REF!</v>
      </c>
      <c r="AV33" s="139" t="e">
        <f>#REF!</f>
        <v>#REF!</v>
      </c>
      <c r="AW33" s="139" t="e">
        <f>#REF!</f>
        <v>#REF!</v>
      </c>
      <c r="AX33" s="139" t="e">
        <f>#REF!</f>
        <v>#REF!</v>
      </c>
      <c r="AY33" s="139" t="e">
        <f>#REF!</f>
        <v>#REF!</v>
      </c>
      <c r="AZ33" s="139" t="e">
        <f>#REF!</f>
        <v>#REF!</v>
      </c>
      <c r="BA33" s="139" t="e">
        <f>#REF!</f>
        <v>#REF!</v>
      </c>
      <c r="BB33" s="139" t="e">
        <f>#REF!</f>
        <v>#REF!</v>
      </c>
      <c r="BC33" s="139" t="e">
        <f>#REF!</f>
        <v>#REF!</v>
      </c>
      <c r="BD33" s="139" t="e">
        <f>#REF!</f>
        <v>#REF!</v>
      </c>
      <c r="BE33" s="139" t="e">
        <f>#REF!</f>
        <v>#REF!</v>
      </c>
      <c r="BF33" s="139" t="e">
        <f>#REF!</f>
        <v>#REF!</v>
      </c>
      <c r="BG33" s="139" t="e">
        <f>#REF!</f>
        <v>#REF!</v>
      </c>
      <c r="BH33" s="139" t="e">
        <f>#REF!</f>
        <v>#REF!</v>
      </c>
      <c r="BI33" s="139" t="e">
        <f>#REF!</f>
        <v>#REF!</v>
      </c>
      <c r="BJ33" s="139" t="e">
        <f>#REF!</f>
        <v>#REF!</v>
      </c>
      <c r="BK33" s="139" t="e">
        <f>#REF!</f>
        <v>#REF!</v>
      </c>
      <c r="BL33" s="139" t="e">
        <f>#REF!</f>
        <v>#REF!</v>
      </c>
      <c r="BM33" s="139" t="e">
        <f>#REF!</f>
        <v>#REF!</v>
      </c>
      <c r="BN33" s="141" t="e">
        <f>#REF!</f>
        <v>#REF!</v>
      </c>
      <c r="BO33" s="141" t="e">
        <f>#REF!</f>
        <v>#REF!</v>
      </c>
      <c r="BP33" s="141" t="e">
        <f>#REF!</f>
        <v>#REF!</v>
      </c>
      <c r="BQ33" s="141" t="e">
        <f>#REF!</f>
        <v>#REF!</v>
      </c>
      <c r="BR33" s="141" t="e">
        <f>#REF!</f>
        <v>#REF!</v>
      </c>
      <c r="BS33" s="141" t="e">
        <f>#REF!</f>
        <v>#REF!</v>
      </c>
      <c r="BT33" s="141" t="e">
        <f>#REF!</f>
        <v>#REF!</v>
      </c>
      <c r="BU33" s="141" t="e">
        <f>#REF!</f>
        <v>#REF!</v>
      </c>
      <c r="BV33" s="141" t="e">
        <f>#REF!</f>
        <v>#REF!</v>
      </c>
      <c r="BW33" s="141" t="e">
        <f>#REF!</f>
        <v>#REF!</v>
      </c>
      <c r="BX33" s="141" t="e">
        <f>#REF!</f>
        <v>#REF!</v>
      </c>
      <c r="BY33" s="141" t="e">
        <f>#REF!</f>
        <v>#REF!</v>
      </c>
      <c r="BZ33" s="141" t="e">
        <f>#REF!</f>
        <v>#REF!</v>
      </c>
      <c r="CA33" s="141" t="e">
        <f>#REF!</f>
        <v>#REF!</v>
      </c>
      <c r="CB33" s="139" t="e">
        <f>#REF!</f>
        <v>#REF!</v>
      </c>
      <c r="CC33" s="139" t="e">
        <f>#REF!</f>
        <v>#REF!</v>
      </c>
      <c r="CD33" s="139" t="e">
        <f>#REF!</f>
        <v>#REF!</v>
      </c>
      <c r="CE33" s="139" t="e">
        <f>#REF!</f>
        <v>#REF!</v>
      </c>
      <c r="CF33" s="139" t="e">
        <f>#REF!</f>
        <v>#REF!</v>
      </c>
      <c r="CG33" s="139" t="e">
        <f>#REF!</f>
        <v>#REF!</v>
      </c>
      <c r="CH33" s="139" t="e">
        <f>#REF!</f>
        <v>#REF!</v>
      </c>
      <c r="CI33" s="139" t="e">
        <f>#REF!</f>
        <v>#REF!</v>
      </c>
      <c r="CJ33" s="140" t="e">
        <f>#REF!</f>
        <v>#REF!</v>
      </c>
      <c r="CK33" s="140" t="e">
        <f>#REF!</f>
        <v>#REF!</v>
      </c>
      <c r="CL33" s="139">
        <v>0</v>
      </c>
      <c r="CM33" s="139">
        <v>0</v>
      </c>
      <c r="CN33" s="139">
        <v>0</v>
      </c>
      <c r="CO33" s="139">
        <v>0</v>
      </c>
      <c r="CP33" s="139" t="e">
        <f>#REF!</f>
        <v>#REF!</v>
      </c>
      <c r="CQ33" s="139" t="e">
        <f>#REF!</f>
        <v>#REF!</v>
      </c>
      <c r="CR33" s="139" t="e">
        <f>#REF!</f>
        <v>#REF!</v>
      </c>
      <c r="CS33" s="139" t="e">
        <f>#REF!</f>
        <v>#REF!</v>
      </c>
      <c r="CT33" s="139" t="e">
        <f>#REF!</f>
        <v>#REF!</v>
      </c>
      <c r="CU33" s="139" t="e">
        <f>#REF!</f>
        <v>#REF!</v>
      </c>
      <c r="CV33" s="139" t="e">
        <f>#REF!</f>
        <v>#REF!</v>
      </c>
      <c r="CW33" s="139" t="e">
        <f>#REF!</f>
        <v>#REF!</v>
      </c>
      <c r="CX33" s="139" t="e">
        <f>#REF!</f>
        <v>#REF!</v>
      </c>
      <c r="CY33" s="139" t="e">
        <f>#REF!</f>
        <v>#REF!</v>
      </c>
      <c r="CZ33" s="139" t="e">
        <f>#REF!</f>
        <v>#REF!</v>
      </c>
      <c r="DA33" s="139" t="e">
        <f>#REF!</f>
        <v>#REF!</v>
      </c>
      <c r="DB33" s="139" t="e">
        <f>#REF!</f>
        <v>#REF!</v>
      </c>
      <c r="DC33" s="139" t="e">
        <f>#REF!</f>
        <v>#REF!</v>
      </c>
      <c r="DD33" s="139" t="e">
        <f>#REF!</f>
        <v>#REF!</v>
      </c>
      <c r="DE33" s="139" t="e">
        <f>#REF!</f>
        <v>#REF!</v>
      </c>
      <c r="DF33" s="139" t="e">
        <f>#REF!</f>
        <v>#REF!</v>
      </c>
      <c r="DG33" s="139" t="e">
        <f>#REF!</f>
        <v>#REF!</v>
      </c>
      <c r="DH33" s="139" t="e">
        <f>#REF!</f>
        <v>#REF!</v>
      </c>
      <c r="DI33" s="139" t="e">
        <f>#REF!</f>
        <v>#REF!</v>
      </c>
      <c r="DJ33" s="139" t="e">
        <f>#REF!</f>
        <v>#REF!</v>
      </c>
      <c r="DK33" s="139" t="e">
        <f>#REF!</f>
        <v>#REF!</v>
      </c>
      <c r="DL33" s="139" t="e">
        <f>#REF!</f>
        <v>#REF!</v>
      </c>
      <c r="DM33" s="139" t="e">
        <f>#REF!</f>
        <v>#REF!</v>
      </c>
      <c r="DN33" s="139" t="e">
        <f>#REF!</f>
        <v>#REF!</v>
      </c>
      <c r="DO33" s="139" t="e">
        <f>#REF!</f>
        <v>#REF!</v>
      </c>
      <c r="DP33" s="139" t="e">
        <f>#REF!</f>
        <v>#REF!</v>
      </c>
      <c r="DQ33" s="139" t="e">
        <f>#REF!</f>
        <v>#REF!</v>
      </c>
      <c r="DR33" s="139" t="e">
        <f>#REF!</f>
        <v>#REF!</v>
      </c>
      <c r="DS33" s="139" t="e">
        <f>#REF!</f>
        <v>#REF!</v>
      </c>
      <c r="DT33" s="139" t="e">
        <f>#REF!</f>
        <v>#REF!</v>
      </c>
      <c r="DU33" s="139" t="e">
        <f>#REF!</f>
        <v>#REF!</v>
      </c>
      <c r="DV33" s="139" t="e">
        <f>#REF!</f>
        <v>#REF!</v>
      </c>
      <c r="DW33" s="139" t="e">
        <f>#REF!</f>
        <v>#REF!</v>
      </c>
      <c r="DX33" s="139" t="e">
        <f>#REF!</f>
        <v>#REF!</v>
      </c>
      <c r="DY33" s="139" t="e">
        <f>#REF!</f>
        <v>#REF!</v>
      </c>
      <c r="DZ33" s="139" t="e">
        <f>#REF!</f>
        <v>#REF!</v>
      </c>
      <c r="EA33" s="139" t="e">
        <f>#REF!</f>
        <v>#REF!</v>
      </c>
      <c r="EB33" s="139" t="e">
        <f>#REF!</f>
        <v>#REF!</v>
      </c>
      <c r="EC33" s="139" t="e">
        <f>#REF!</f>
        <v>#REF!</v>
      </c>
      <c r="ED33" s="139" t="e">
        <f>#REF!</f>
        <v>#REF!</v>
      </c>
      <c r="EE33" s="139" t="e">
        <f>#REF!</f>
        <v>#REF!</v>
      </c>
      <c r="EF33" s="139" t="e">
        <f>#REF!</f>
        <v>#REF!</v>
      </c>
      <c r="EG33" s="139" t="e">
        <f>#REF!</f>
        <v>#REF!</v>
      </c>
      <c r="EH33" s="139" t="e">
        <f>#REF!</f>
        <v>#REF!</v>
      </c>
      <c r="EI33" s="139" t="e">
        <f>#REF!</f>
        <v>#REF!</v>
      </c>
      <c r="EJ33" s="139" t="e">
        <f>#REF!</f>
        <v>#REF!</v>
      </c>
      <c r="EK33" s="139" t="e">
        <f>#REF!</f>
        <v>#REF!</v>
      </c>
      <c r="EL33" s="139" t="e">
        <f>#REF!</f>
        <v>#REF!</v>
      </c>
      <c r="EM33" s="139" t="e">
        <f>#REF!</f>
        <v>#REF!</v>
      </c>
      <c r="EN33" s="139" t="e">
        <f>#REF!</f>
        <v>#REF!</v>
      </c>
      <c r="EO33" s="139" t="e">
        <f>#REF!</f>
        <v>#REF!</v>
      </c>
      <c r="EP33" s="139" t="e">
        <f>#REF!</f>
        <v>#REF!</v>
      </c>
      <c r="EQ33" s="139" t="e">
        <f>#REF!</f>
        <v>#REF!</v>
      </c>
      <c r="ER33" s="139" t="e">
        <f>#REF!</f>
        <v>#REF!</v>
      </c>
      <c r="ES33" s="139" t="e">
        <f>#REF!</f>
        <v>#REF!</v>
      </c>
      <c r="ET33" s="139" t="e">
        <f>#REF!</f>
        <v>#REF!</v>
      </c>
      <c r="EU33" s="139" t="e">
        <f>#REF!</f>
        <v>#REF!</v>
      </c>
      <c r="EV33" s="139" t="e">
        <f>#REF!</f>
        <v>#REF!</v>
      </c>
      <c r="EW33" s="139" t="e">
        <f>#REF!</f>
        <v>#REF!</v>
      </c>
      <c r="EX33" s="139" t="e">
        <f>#REF!</f>
        <v>#REF!</v>
      </c>
      <c r="EY33" s="139" t="e">
        <f>#REF!</f>
        <v>#REF!</v>
      </c>
      <c r="EZ33" s="139" t="e">
        <f>#REF!</f>
        <v>#REF!</v>
      </c>
      <c r="FA33" s="139" t="e">
        <f>#REF!</f>
        <v>#REF!</v>
      </c>
      <c r="FB33" s="139" t="e">
        <f>#REF!</f>
        <v>#REF!</v>
      </c>
      <c r="FC33" s="139" t="e">
        <f>#REF!</f>
        <v>#REF!</v>
      </c>
      <c r="FD33" s="139" t="e">
        <f>#REF!</f>
        <v>#REF!</v>
      </c>
      <c r="FE33" s="139" t="e">
        <f>#REF!</f>
        <v>#REF!</v>
      </c>
      <c r="FF33" s="139" t="e">
        <f>#REF!</f>
        <v>#REF!</v>
      </c>
      <c r="FG33" s="139" t="e">
        <f>#REF!</f>
        <v>#REF!</v>
      </c>
      <c r="FH33" s="139" t="e">
        <f>#REF!</f>
        <v>#REF!</v>
      </c>
      <c r="FI33" s="139" t="e">
        <f>#REF!</f>
        <v>#REF!</v>
      </c>
      <c r="FJ33" s="139" t="e">
        <f>#REF!</f>
        <v>#REF!</v>
      </c>
      <c r="FK33" s="139" t="e">
        <f>#REF!</f>
        <v>#REF!</v>
      </c>
      <c r="FL33" s="139" t="e">
        <f>#REF!</f>
        <v>#REF!</v>
      </c>
      <c r="FM33" s="139" t="e">
        <f>#REF!</f>
        <v>#REF!</v>
      </c>
      <c r="FN33" s="139" t="e">
        <f>#REF!</f>
        <v>#REF!</v>
      </c>
    </row>
    <row r="34" spans="1:170" ht="15" x14ac:dyDescent="0.25">
      <c r="A34" s="619">
        <v>1</v>
      </c>
      <c r="B34" s="133" t="e">
        <f>RIGHT(#REF!,LEN(#REF!)-(FIND("Standards",#REF!,1)+9))</f>
        <v>#REF!</v>
      </c>
      <c r="C34" s="620" t="e">
        <f>#REF!</f>
        <v>#REF!</v>
      </c>
      <c r="D34" s="620">
        <v>72689</v>
      </c>
      <c r="E34" s="621" t="e">
        <f>#REF!</f>
        <v>#REF!</v>
      </c>
      <c r="F34" s="621" t="e">
        <f>#REF!</f>
        <v>#REF!</v>
      </c>
      <c r="G34" s="619" t="e">
        <f>#REF!</f>
        <v>#REF!</v>
      </c>
      <c r="H34" s="619" t="e">
        <f>#REF!</f>
        <v>#REF!</v>
      </c>
      <c r="I34" s="621" t="e">
        <f>#REF!</f>
        <v>#REF!</v>
      </c>
      <c r="J34" s="619" t="e">
        <f>#REF!</f>
        <v>#REF!</v>
      </c>
      <c r="K34" s="621" t="e">
        <f>#REF!</f>
        <v>#REF!</v>
      </c>
      <c r="L34" s="622" t="e">
        <f>#REF!</f>
        <v>#REF!</v>
      </c>
      <c r="M34" s="622" t="e">
        <f>#REF!</f>
        <v>#REF!</v>
      </c>
      <c r="N34" t="e">
        <f>#REF!</f>
        <v>#REF!</v>
      </c>
      <c r="O34" t="e">
        <f>#REF!</f>
        <v>#REF!</v>
      </c>
      <c r="P34" t="e">
        <f>#REF!</f>
        <v>#REF!</v>
      </c>
      <c r="Q34" s="136" t="e">
        <f>#REF!</f>
        <v>#REF!</v>
      </c>
      <c r="R34" s="136" t="e">
        <f>#REF!</f>
        <v>#REF!</v>
      </c>
      <c r="S34" s="136" t="e">
        <f>#REF!</f>
        <v>#REF!</v>
      </c>
      <c r="T34" s="136" t="e">
        <f>#REF!</f>
        <v>#REF!</v>
      </c>
      <c r="U34" s="136" t="e">
        <f>#REF!</f>
        <v>#REF!</v>
      </c>
      <c r="V34" s="136" t="e">
        <f>#REF!</f>
        <v>#REF!</v>
      </c>
      <c r="W34" s="136" t="e">
        <f>#REF!</f>
        <v>#REF!</v>
      </c>
      <c r="X34" s="136" t="e">
        <f>#REF!</f>
        <v>#REF!</v>
      </c>
      <c r="Y34" s="136" t="e">
        <f>#REF!</f>
        <v>#REF!</v>
      </c>
      <c r="Z34" s="136" t="e">
        <f>#REF!</f>
        <v>#REF!</v>
      </c>
      <c r="AA34" s="136" t="e">
        <f>#REF!</f>
        <v>#REF!</v>
      </c>
      <c r="AB34" s="136" t="e">
        <f>#REF!</f>
        <v>#REF!</v>
      </c>
      <c r="AC34" s="136" t="e">
        <f>#REF!</f>
        <v>#REF!</v>
      </c>
      <c r="AD34" s="136" t="e">
        <f>#REF!</f>
        <v>#REF!</v>
      </c>
      <c r="AE34" s="136" t="e">
        <f>#REF!</f>
        <v>#REF!</v>
      </c>
      <c r="AF34" s="136" t="e">
        <f>#REF!</f>
        <v>#REF!</v>
      </c>
      <c r="AG34" s="136" t="e">
        <f>#REF!</f>
        <v>#REF!</v>
      </c>
      <c r="AH34" s="136" t="e">
        <f>#REF!</f>
        <v>#REF!</v>
      </c>
      <c r="AI34" s="136" t="e">
        <f>#REF!</f>
        <v>#REF!</v>
      </c>
      <c r="AJ34" s="136" t="e">
        <f>#REF!</f>
        <v>#REF!</v>
      </c>
      <c r="AK34" s="136" t="e">
        <f>#REF!</f>
        <v>#REF!</v>
      </c>
      <c r="AL34" s="136" t="e">
        <f>#REF!</f>
        <v>#REF!</v>
      </c>
      <c r="AM34" s="136"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s="136" t="e">
        <f>#REF!</f>
        <v>#REF!</v>
      </c>
      <c r="BG34" t="e">
        <f>#REF!</f>
        <v>#REF!</v>
      </c>
      <c r="BH34" t="e">
        <f>#REF!</f>
        <v>#REF!</v>
      </c>
      <c r="BI34" t="e">
        <f>#REF!</f>
        <v>#REF!</v>
      </c>
      <c r="BJ34" t="e">
        <f>#REF!</f>
        <v>#REF!</v>
      </c>
      <c r="BK34" t="e">
        <f>#REF!</f>
        <v>#REF!</v>
      </c>
      <c r="BL34" t="e">
        <f>#REF!</f>
        <v>#REF!</v>
      </c>
      <c r="BM34" t="e">
        <f>#REF!</f>
        <v>#REF!</v>
      </c>
      <c r="BN34" s="137" t="e">
        <f>#REF!</f>
        <v>#REF!</v>
      </c>
      <c r="BO34" s="137" t="e">
        <f>#REF!</f>
        <v>#REF!</v>
      </c>
      <c r="BP34" s="137" t="e">
        <f>#REF!</f>
        <v>#REF!</v>
      </c>
      <c r="BQ34" s="137" t="e">
        <f>#REF!</f>
        <v>#REF!</v>
      </c>
      <c r="BR34" s="137" t="e">
        <f>#REF!</f>
        <v>#REF!</v>
      </c>
      <c r="BS34" s="137" t="e">
        <f>#REF!</f>
        <v>#REF!</v>
      </c>
      <c r="BT34" s="137" t="e">
        <f>#REF!</f>
        <v>#REF!</v>
      </c>
      <c r="BU34" s="137" t="e">
        <f>#REF!</f>
        <v>#REF!</v>
      </c>
      <c r="BV34" s="137" t="e">
        <f>#REF!</f>
        <v>#REF!</v>
      </c>
      <c r="BW34" s="137" t="e">
        <f>#REF!</f>
        <v>#REF!</v>
      </c>
      <c r="BX34" s="137" t="e">
        <f>#REF!</f>
        <v>#REF!</v>
      </c>
      <c r="BY34" s="137" t="e">
        <f>#REF!</f>
        <v>#REF!</v>
      </c>
      <c r="BZ34" s="137" t="e">
        <f>#REF!</f>
        <v>#REF!</v>
      </c>
      <c r="CA34" s="137" t="e">
        <f>#REF!</f>
        <v>#REF!</v>
      </c>
      <c r="CB34" t="e">
        <f>#REF!</f>
        <v>#REF!</v>
      </c>
      <c r="CC34" t="e">
        <f>#REF!</f>
        <v>#REF!</v>
      </c>
      <c r="CD34" t="e">
        <f>#REF!</f>
        <v>#REF!</v>
      </c>
      <c r="CE34" t="e">
        <f>#REF!</f>
        <v>#REF!</v>
      </c>
      <c r="CF34" t="e">
        <f>#REF!</f>
        <v>#REF!</v>
      </c>
      <c r="CG34" t="e">
        <f>#REF!</f>
        <v>#REF!</v>
      </c>
      <c r="CH34" t="e">
        <f>#REF!</f>
        <v>#REF!</v>
      </c>
      <c r="CI34" t="e">
        <f>#REF!</f>
        <v>#REF!</v>
      </c>
      <c r="CJ34" s="136" t="e">
        <f>#REF!</f>
        <v>#REF!</v>
      </c>
      <c r="CK34" s="136" t="e">
        <f>#REF!</f>
        <v>#REF!</v>
      </c>
      <c r="CL34">
        <v>0</v>
      </c>
      <c r="CM34">
        <v>0</v>
      </c>
      <c r="CN34">
        <v>0</v>
      </c>
      <c r="CO34">
        <v>0</v>
      </c>
      <c r="CP34" t="e">
        <f>#REF!</f>
        <v>#REF!</v>
      </c>
      <c r="CQ34" t="e">
        <f>#REF!</f>
        <v>#REF!</v>
      </c>
      <c r="CR34" t="e">
        <f>#REF!</f>
        <v>#REF!</v>
      </c>
      <c r="CS34" t="e">
        <f>#REF!</f>
        <v>#REF!</v>
      </c>
      <c r="CT34" t="e">
        <f>#REF!</f>
        <v>#REF!</v>
      </c>
      <c r="CU34" t="e">
        <f>#REF!</f>
        <v>#REF!</v>
      </c>
      <c r="CV34" t="e">
        <f>#REF!</f>
        <v>#REF!</v>
      </c>
      <c r="CW34" t="e">
        <f>#REF!</f>
        <v>#REF!</v>
      </c>
      <c r="CX34" t="e">
        <f>#REF!</f>
        <v>#REF!</v>
      </c>
      <c r="CY34" t="e">
        <f>#REF!</f>
        <v>#REF!</v>
      </c>
      <c r="CZ34" t="e">
        <f>#REF!</f>
        <v>#REF!</v>
      </c>
      <c r="DA34" t="e">
        <f>#REF!</f>
        <v>#REF!</v>
      </c>
      <c r="DB34" t="e">
        <f>#REF!</f>
        <v>#REF!</v>
      </c>
      <c r="DC34" t="e">
        <f>#REF!</f>
        <v>#REF!</v>
      </c>
      <c r="DD34" t="e">
        <f>#REF!</f>
        <v>#REF!</v>
      </c>
      <c r="DE34" t="e">
        <f>#REF!</f>
        <v>#REF!</v>
      </c>
      <c r="DF34" t="e">
        <f>#REF!</f>
        <v>#REF!</v>
      </c>
      <c r="DG34" t="e">
        <f>#REF!</f>
        <v>#REF!</v>
      </c>
      <c r="DH34" t="e">
        <f>#REF!</f>
        <v>#REF!</v>
      </c>
      <c r="DI34" t="e">
        <f>#REF!</f>
        <v>#REF!</v>
      </c>
      <c r="DJ34" t="e">
        <f>#REF!</f>
        <v>#REF!</v>
      </c>
      <c r="DK34" t="e">
        <f>#REF!</f>
        <v>#REF!</v>
      </c>
      <c r="DL34" t="e">
        <f>#REF!</f>
        <v>#REF!</v>
      </c>
      <c r="DM34" t="e">
        <f>#REF!</f>
        <v>#REF!</v>
      </c>
      <c r="DN34" t="e">
        <f>#REF!</f>
        <v>#REF!</v>
      </c>
      <c r="DO34" t="e">
        <f>#REF!</f>
        <v>#REF!</v>
      </c>
      <c r="DP34" t="e">
        <f>#REF!</f>
        <v>#REF!</v>
      </c>
      <c r="DQ34" t="e">
        <f>#REF!</f>
        <v>#REF!</v>
      </c>
      <c r="DR34" t="e">
        <f>#REF!</f>
        <v>#REF!</v>
      </c>
      <c r="DS34" t="e">
        <f>#REF!</f>
        <v>#REF!</v>
      </c>
      <c r="DT34" t="e">
        <f>#REF!</f>
        <v>#REF!</v>
      </c>
      <c r="DU34" t="e">
        <f>#REF!</f>
        <v>#REF!</v>
      </c>
      <c r="DV34" t="e">
        <f>#REF!</f>
        <v>#REF!</v>
      </c>
      <c r="DW34" t="e">
        <f>#REF!</f>
        <v>#REF!</v>
      </c>
      <c r="DX34" t="e">
        <f>#REF!</f>
        <v>#REF!</v>
      </c>
      <c r="DY34" t="e">
        <f>#REF!</f>
        <v>#REF!</v>
      </c>
      <c r="DZ34" t="e">
        <f>#REF!</f>
        <v>#REF!</v>
      </c>
      <c r="EA34" t="e">
        <f>#REF!</f>
        <v>#REF!</v>
      </c>
      <c r="EB34" t="e">
        <f>#REF!</f>
        <v>#REF!</v>
      </c>
      <c r="EC34" t="e">
        <f>#REF!</f>
        <v>#REF!</v>
      </c>
      <c r="ED34" t="e">
        <f>#REF!</f>
        <v>#REF!</v>
      </c>
      <c r="EE34" t="e">
        <f>#REF!</f>
        <v>#REF!</v>
      </c>
      <c r="EF34" t="e">
        <f>#REF!</f>
        <v>#REF!</v>
      </c>
      <c r="EG34" t="e">
        <f>#REF!</f>
        <v>#REF!</v>
      </c>
      <c r="EH34" t="e">
        <f>#REF!</f>
        <v>#REF!</v>
      </c>
      <c r="EI34" t="e">
        <f>#REF!</f>
        <v>#REF!</v>
      </c>
      <c r="EJ34" t="e">
        <f>#REF!</f>
        <v>#REF!</v>
      </c>
      <c r="EK34" t="e">
        <f>#REF!</f>
        <v>#REF!</v>
      </c>
      <c r="EL34" t="e">
        <f>#REF!</f>
        <v>#REF!</v>
      </c>
      <c r="EM34" t="e">
        <f>#REF!</f>
        <v>#REF!</v>
      </c>
      <c r="EN34" t="e">
        <f>#REF!</f>
        <v>#REF!</v>
      </c>
      <c r="EO34" t="e">
        <f>#REF!</f>
        <v>#REF!</v>
      </c>
      <c r="EP34" t="e">
        <f>#REF!</f>
        <v>#REF!</v>
      </c>
      <c r="EQ34" t="e">
        <f>#REF!</f>
        <v>#REF!</v>
      </c>
      <c r="ER34" t="e">
        <f>#REF!</f>
        <v>#REF!</v>
      </c>
      <c r="ES34" t="e">
        <f>#REF!</f>
        <v>#REF!</v>
      </c>
      <c r="ET34" t="e">
        <f>#REF!</f>
        <v>#REF!</v>
      </c>
      <c r="EU34" t="e">
        <f>#REF!</f>
        <v>#REF!</v>
      </c>
      <c r="EV34" t="e">
        <f>#REF!</f>
        <v>#REF!</v>
      </c>
      <c r="EW34" t="e">
        <f>#REF!</f>
        <v>#REF!</v>
      </c>
      <c r="EX34" t="e">
        <f>#REF!</f>
        <v>#REF!</v>
      </c>
      <c r="EY34" t="e">
        <f>#REF!</f>
        <v>#REF!</v>
      </c>
      <c r="EZ34" t="e">
        <f>#REF!</f>
        <v>#REF!</v>
      </c>
      <c r="FA34" t="e">
        <f>#REF!</f>
        <v>#REF!</v>
      </c>
      <c r="FB34" t="e">
        <f>#REF!</f>
        <v>#REF!</v>
      </c>
      <c r="FC34" t="e">
        <f>#REF!</f>
        <v>#REF!</v>
      </c>
      <c r="FD34" t="e">
        <f>#REF!</f>
        <v>#REF!</v>
      </c>
      <c r="FE34" t="e">
        <f>#REF!</f>
        <v>#REF!</v>
      </c>
      <c r="FF34" t="e">
        <f>#REF!</f>
        <v>#REF!</v>
      </c>
      <c r="FG34" t="e">
        <f>#REF!</f>
        <v>#REF!</v>
      </c>
      <c r="FH34" t="e">
        <f>#REF!</f>
        <v>#REF!</v>
      </c>
      <c r="FI34" t="e">
        <f>#REF!</f>
        <v>#REF!</v>
      </c>
      <c r="FJ34" t="e">
        <f>#REF!</f>
        <v>#REF!</v>
      </c>
      <c r="FK34" t="e">
        <f>#REF!</f>
        <v>#REF!</v>
      </c>
      <c r="FL34" t="e">
        <f>#REF!</f>
        <v>#REF!</v>
      </c>
      <c r="FM34" t="e">
        <f>#REF!</f>
        <v>#REF!</v>
      </c>
      <c r="FN34" t="e">
        <f>#REF!</f>
        <v>#REF!</v>
      </c>
    </row>
    <row r="35" spans="1:170" ht="15" x14ac:dyDescent="0.25">
      <c r="A35" s="619">
        <v>1</v>
      </c>
      <c r="B35" s="133" t="e">
        <f>RIGHT(#REF!,LEN(#REF!)-(FIND("Standards",#REF!,1)+9))</f>
        <v>#REF!</v>
      </c>
      <c r="C35" s="620" t="e">
        <f>#REF!</f>
        <v>#REF!</v>
      </c>
      <c r="D35" s="620">
        <v>72690</v>
      </c>
      <c r="E35" s="621" t="e">
        <f>#REF!</f>
        <v>#REF!</v>
      </c>
      <c r="F35" s="621" t="e">
        <f>#REF!</f>
        <v>#REF!</v>
      </c>
      <c r="G35" s="619" t="e">
        <f>#REF!</f>
        <v>#REF!</v>
      </c>
      <c r="H35" s="619" t="e">
        <f>#REF!</f>
        <v>#REF!</v>
      </c>
      <c r="I35" s="621" t="e">
        <f>#REF!</f>
        <v>#REF!</v>
      </c>
      <c r="J35" s="619" t="e">
        <f>#REF!</f>
        <v>#REF!</v>
      </c>
      <c r="K35" s="621" t="e">
        <f>#REF!</f>
        <v>#REF!</v>
      </c>
      <c r="L35" s="622" t="e">
        <f>#REF!</f>
        <v>#REF!</v>
      </c>
      <c r="M35" s="622" t="e">
        <f>#REF!</f>
        <v>#REF!</v>
      </c>
      <c r="N35" t="e">
        <f>#REF!</f>
        <v>#REF!</v>
      </c>
      <c r="O35" t="e">
        <f>#REF!</f>
        <v>#REF!</v>
      </c>
      <c r="P35" t="e">
        <f>#REF!</f>
        <v>#REF!</v>
      </c>
      <c r="Q35" s="136" t="e">
        <f>#REF!</f>
        <v>#REF!</v>
      </c>
      <c r="R35" s="136" t="e">
        <f>#REF!</f>
        <v>#REF!</v>
      </c>
      <c r="S35" s="136" t="e">
        <f>#REF!</f>
        <v>#REF!</v>
      </c>
      <c r="T35" s="136" t="e">
        <f>#REF!</f>
        <v>#REF!</v>
      </c>
      <c r="U35" s="136" t="e">
        <f>#REF!</f>
        <v>#REF!</v>
      </c>
      <c r="V35" s="136" t="e">
        <f>#REF!</f>
        <v>#REF!</v>
      </c>
      <c r="W35" s="136" t="e">
        <f>#REF!</f>
        <v>#REF!</v>
      </c>
      <c r="X35" s="136" t="e">
        <f>#REF!</f>
        <v>#REF!</v>
      </c>
      <c r="Y35" s="136" t="e">
        <f>#REF!</f>
        <v>#REF!</v>
      </c>
      <c r="Z35" s="136" t="e">
        <f>#REF!</f>
        <v>#REF!</v>
      </c>
      <c r="AA35" s="136" t="e">
        <f>#REF!</f>
        <v>#REF!</v>
      </c>
      <c r="AB35" s="136" t="e">
        <f>#REF!</f>
        <v>#REF!</v>
      </c>
      <c r="AC35" s="136" t="e">
        <f>#REF!</f>
        <v>#REF!</v>
      </c>
      <c r="AD35" s="136" t="e">
        <f>#REF!</f>
        <v>#REF!</v>
      </c>
      <c r="AE35" s="136" t="e">
        <f>#REF!</f>
        <v>#REF!</v>
      </c>
      <c r="AF35" s="136" t="e">
        <f>#REF!</f>
        <v>#REF!</v>
      </c>
      <c r="AG35" s="136" t="e">
        <f>#REF!</f>
        <v>#REF!</v>
      </c>
      <c r="AH35" s="136" t="e">
        <f>#REF!</f>
        <v>#REF!</v>
      </c>
      <c r="AI35" s="136" t="e">
        <f>#REF!</f>
        <v>#REF!</v>
      </c>
      <c r="AJ35" s="136" t="e">
        <f>#REF!</f>
        <v>#REF!</v>
      </c>
      <c r="AK35" s="136" t="e">
        <f>#REF!</f>
        <v>#REF!</v>
      </c>
      <c r="AL35" s="136" t="e">
        <f>#REF!</f>
        <v>#REF!</v>
      </c>
      <c r="AM35" s="136" t="e">
        <f>#REF!</f>
        <v>#REF!</v>
      </c>
      <c r="AN35" t="e">
        <f>#REF!</f>
        <v>#REF!</v>
      </c>
      <c r="AO35" t="e">
        <f>#REF!</f>
        <v>#REF!</v>
      </c>
      <c r="AP35" t="e">
        <f>#REF!</f>
        <v>#REF!</v>
      </c>
      <c r="AQ35" t="e">
        <f>#REF!</f>
        <v>#REF!</v>
      </c>
      <c r="AR35" t="e">
        <f>#REF!</f>
        <v>#REF!</v>
      </c>
      <c r="AS35" s="136" t="e">
        <f>#REF!</f>
        <v>#REF!</v>
      </c>
      <c r="AT35" s="136" t="e">
        <f>#REF!</f>
        <v>#REF!</v>
      </c>
      <c r="AU35" s="136" t="e">
        <f>#REF!</f>
        <v>#REF!</v>
      </c>
      <c r="AV35" s="136" t="e">
        <f>#REF!</f>
        <v>#REF!</v>
      </c>
      <c r="AW35" s="136" t="e">
        <f>#REF!</f>
        <v>#REF!</v>
      </c>
      <c r="AX35" s="136" t="e">
        <f>#REF!</f>
        <v>#REF!</v>
      </c>
      <c r="AY35" s="136" t="e">
        <f>#REF!</f>
        <v>#REF!</v>
      </c>
      <c r="AZ35" s="136" t="e">
        <f>#REF!</f>
        <v>#REF!</v>
      </c>
      <c r="BA35" s="136" t="e">
        <f>#REF!</f>
        <v>#REF!</v>
      </c>
      <c r="BB35" s="136" t="e">
        <f>#REF!</f>
        <v>#REF!</v>
      </c>
      <c r="BC35" s="136" t="e">
        <f>#REF!</f>
        <v>#REF!</v>
      </c>
      <c r="BD35" s="136" t="e">
        <f>#REF!</f>
        <v>#REF!</v>
      </c>
      <c r="BE35" t="e">
        <f>#REF!</f>
        <v>#REF!</v>
      </c>
      <c r="BF35" s="136" t="e">
        <f>#REF!</f>
        <v>#REF!</v>
      </c>
      <c r="BG35" t="e">
        <f>#REF!</f>
        <v>#REF!</v>
      </c>
      <c r="BH35" s="136" t="e">
        <f>#REF!</f>
        <v>#REF!</v>
      </c>
      <c r="BI35" t="e">
        <f>#REF!</f>
        <v>#REF!</v>
      </c>
      <c r="BJ35" s="136" t="e">
        <f>#REF!</f>
        <v>#REF!</v>
      </c>
      <c r="BK35" s="136" t="e">
        <f>#REF!</f>
        <v>#REF!</v>
      </c>
      <c r="BL35" s="136" t="e">
        <f>#REF!</f>
        <v>#REF!</v>
      </c>
      <c r="BM35" t="e">
        <f>#REF!</f>
        <v>#REF!</v>
      </c>
      <c r="BN35" s="137" t="e">
        <f>#REF!</f>
        <v>#REF!</v>
      </c>
      <c r="BO35" s="137" t="e">
        <f>#REF!</f>
        <v>#REF!</v>
      </c>
      <c r="BP35" s="137" t="e">
        <f>#REF!</f>
        <v>#REF!</v>
      </c>
      <c r="BQ35" s="137" t="e">
        <f>#REF!</f>
        <v>#REF!</v>
      </c>
      <c r="BR35" s="137" t="e">
        <f>#REF!</f>
        <v>#REF!</v>
      </c>
      <c r="BS35" s="137" t="e">
        <f>#REF!</f>
        <v>#REF!</v>
      </c>
      <c r="BT35" s="137" t="e">
        <f>#REF!</f>
        <v>#REF!</v>
      </c>
      <c r="BU35" s="137" t="e">
        <f>#REF!</f>
        <v>#REF!</v>
      </c>
      <c r="BV35" s="137" t="e">
        <f>#REF!</f>
        <v>#REF!</v>
      </c>
      <c r="BW35" s="137" t="e">
        <f>#REF!</f>
        <v>#REF!</v>
      </c>
      <c r="BX35" s="137" t="e">
        <f>#REF!</f>
        <v>#REF!</v>
      </c>
      <c r="BY35" s="137" t="e">
        <f>#REF!</f>
        <v>#REF!</v>
      </c>
      <c r="BZ35" s="137" t="e">
        <f>#REF!</f>
        <v>#REF!</v>
      </c>
      <c r="CA35" s="137" t="e">
        <f>#REF!</f>
        <v>#REF!</v>
      </c>
      <c r="CB35" t="e">
        <f>#REF!</f>
        <v>#REF!</v>
      </c>
      <c r="CC35" t="e">
        <f>#REF!</f>
        <v>#REF!</v>
      </c>
      <c r="CD35" t="e">
        <f>#REF!</f>
        <v>#REF!</v>
      </c>
      <c r="CE35" t="e">
        <f>#REF!</f>
        <v>#REF!</v>
      </c>
      <c r="CF35" t="e">
        <f>#REF!</f>
        <v>#REF!</v>
      </c>
      <c r="CG35" t="e">
        <f>#REF!</f>
        <v>#REF!</v>
      </c>
      <c r="CH35" t="e">
        <f>#REF!</f>
        <v>#REF!</v>
      </c>
      <c r="CI35" t="e">
        <f>#REF!</f>
        <v>#REF!</v>
      </c>
      <c r="CJ35" s="136" t="e">
        <f>#REF!</f>
        <v>#REF!</v>
      </c>
      <c r="CK35" s="136" t="e">
        <f>#REF!</f>
        <v>#REF!</v>
      </c>
      <c r="CL35">
        <v>0</v>
      </c>
      <c r="CM35">
        <v>0</v>
      </c>
      <c r="CN35">
        <v>0</v>
      </c>
      <c r="CO35">
        <v>0</v>
      </c>
      <c r="CP35" t="e">
        <f>#REF!</f>
        <v>#REF!</v>
      </c>
      <c r="CQ35" t="e">
        <f>#REF!</f>
        <v>#REF!</v>
      </c>
      <c r="CR35" t="e">
        <f>#REF!</f>
        <v>#REF!</v>
      </c>
      <c r="CS35" t="e">
        <f>#REF!</f>
        <v>#REF!</v>
      </c>
      <c r="CT35" t="e">
        <f>#REF!</f>
        <v>#REF!</v>
      </c>
      <c r="CU35" t="e">
        <f>#REF!</f>
        <v>#REF!</v>
      </c>
      <c r="CV35" t="e">
        <f>#REF!</f>
        <v>#REF!</v>
      </c>
      <c r="CW35" t="e">
        <f>#REF!</f>
        <v>#REF!</v>
      </c>
      <c r="CX35" t="e">
        <f>#REF!</f>
        <v>#REF!</v>
      </c>
      <c r="CY35" t="e">
        <f>#REF!</f>
        <v>#REF!</v>
      </c>
      <c r="CZ35" t="e">
        <f>#REF!</f>
        <v>#REF!</v>
      </c>
      <c r="DA35" t="e">
        <f>#REF!</f>
        <v>#REF!</v>
      </c>
      <c r="DB35" t="e">
        <f>#REF!</f>
        <v>#REF!</v>
      </c>
      <c r="DC35" t="e">
        <f>#REF!</f>
        <v>#REF!</v>
      </c>
      <c r="DD35" t="e">
        <f>#REF!</f>
        <v>#REF!</v>
      </c>
      <c r="DE35" t="e">
        <f>#REF!</f>
        <v>#REF!</v>
      </c>
      <c r="DF35" t="e">
        <f>#REF!</f>
        <v>#REF!</v>
      </c>
      <c r="DG35" t="e">
        <f>#REF!</f>
        <v>#REF!</v>
      </c>
      <c r="DH35" t="e">
        <f>#REF!</f>
        <v>#REF!</v>
      </c>
      <c r="DI35" t="e">
        <f>#REF!</f>
        <v>#REF!</v>
      </c>
      <c r="DJ35" t="e">
        <f>#REF!</f>
        <v>#REF!</v>
      </c>
      <c r="DK35" t="e">
        <f>#REF!</f>
        <v>#REF!</v>
      </c>
      <c r="DL35" t="e">
        <f>#REF!</f>
        <v>#REF!</v>
      </c>
      <c r="DM35" t="e">
        <f>#REF!</f>
        <v>#REF!</v>
      </c>
      <c r="DN35" t="e">
        <f>#REF!</f>
        <v>#REF!</v>
      </c>
      <c r="DO35" t="e">
        <f>#REF!</f>
        <v>#REF!</v>
      </c>
      <c r="DP35" t="e">
        <f>#REF!</f>
        <v>#REF!</v>
      </c>
      <c r="DQ35" t="e">
        <f>#REF!</f>
        <v>#REF!</v>
      </c>
      <c r="DR35" t="e">
        <f>#REF!</f>
        <v>#REF!</v>
      </c>
      <c r="DS35" t="e">
        <f>#REF!</f>
        <v>#REF!</v>
      </c>
      <c r="DT35" t="e">
        <f>#REF!</f>
        <v>#REF!</v>
      </c>
      <c r="DU35" t="e">
        <f>#REF!</f>
        <v>#REF!</v>
      </c>
      <c r="DV35" t="e">
        <f>#REF!</f>
        <v>#REF!</v>
      </c>
      <c r="DW35" t="e">
        <f>#REF!</f>
        <v>#REF!</v>
      </c>
      <c r="DX35" t="e">
        <f>#REF!</f>
        <v>#REF!</v>
      </c>
      <c r="DY35" t="e">
        <f>#REF!</f>
        <v>#REF!</v>
      </c>
      <c r="DZ35" t="e">
        <f>#REF!</f>
        <v>#REF!</v>
      </c>
      <c r="EA35" t="e">
        <f>#REF!</f>
        <v>#REF!</v>
      </c>
      <c r="EB35" t="e">
        <f>#REF!</f>
        <v>#REF!</v>
      </c>
      <c r="EC35" t="e">
        <f>#REF!</f>
        <v>#REF!</v>
      </c>
      <c r="ED35" t="e">
        <f>#REF!</f>
        <v>#REF!</v>
      </c>
      <c r="EE35" t="e">
        <f>#REF!</f>
        <v>#REF!</v>
      </c>
      <c r="EF35" t="e">
        <f>#REF!</f>
        <v>#REF!</v>
      </c>
      <c r="EG35" t="e">
        <f>#REF!</f>
        <v>#REF!</v>
      </c>
      <c r="EH35" t="e">
        <f>#REF!</f>
        <v>#REF!</v>
      </c>
      <c r="EI35" t="e">
        <f>#REF!</f>
        <v>#REF!</v>
      </c>
      <c r="EJ35" t="e">
        <f>#REF!</f>
        <v>#REF!</v>
      </c>
      <c r="EK35" t="e">
        <f>#REF!</f>
        <v>#REF!</v>
      </c>
      <c r="EL35" t="e">
        <f>#REF!</f>
        <v>#REF!</v>
      </c>
      <c r="EM35" t="e">
        <f>#REF!</f>
        <v>#REF!</v>
      </c>
      <c r="EN35" t="e">
        <f>#REF!</f>
        <v>#REF!</v>
      </c>
      <c r="EO35" t="e">
        <f>#REF!</f>
        <v>#REF!</v>
      </c>
      <c r="EP35" t="e">
        <f>#REF!</f>
        <v>#REF!</v>
      </c>
      <c r="EQ35" t="e">
        <f>#REF!</f>
        <v>#REF!</v>
      </c>
      <c r="ER35" t="e">
        <f>#REF!</f>
        <v>#REF!</v>
      </c>
      <c r="ES35" t="e">
        <f>#REF!</f>
        <v>#REF!</v>
      </c>
      <c r="ET35" t="e">
        <f>#REF!</f>
        <v>#REF!</v>
      </c>
      <c r="EU35" t="e">
        <f>#REF!</f>
        <v>#REF!</v>
      </c>
      <c r="EV35" t="e">
        <f>#REF!</f>
        <v>#REF!</v>
      </c>
      <c r="EW35" t="e">
        <f>#REF!</f>
        <v>#REF!</v>
      </c>
      <c r="EX35" t="e">
        <f>#REF!</f>
        <v>#REF!</v>
      </c>
      <c r="EY35" t="e">
        <f>#REF!</f>
        <v>#REF!</v>
      </c>
      <c r="EZ35" t="e">
        <f>#REF!</f>
        <v>#REF!</v>
      </c>
      <c r="FA35" t="e">
        <f>#REF!</f>
        <v>#REF!</v>
      </c>
      <c r="FB35" t="e">
        <f>#REF!</f>
        <v>#REF!</v>
      </c>
      <c r="FC35" t="e">
        <f>#REF!</f>
        <v>#REF!</v>
      </c>
      <c r="FD35" t="e">
        <f>#REF!</f>
        <v>#REF!</v>
      </c>
      <c r="FE35" t="e">
        <f>#REF!</f>
        <v>#REF!</v>
      </c>
      <c r="FF35" t="e">
        <f>#REF!</f>
        <v>#REF!</v>
      </c>
      <c r="FG35" t="e">
        <f>#REF!</f>
        <v>#REF!</v>
      </c>
      <c r="FH35" t="e">
        <f>#REF!</f>
        <v>#REF!</v>
      </c>
      <c r="FI35" t="e">
        <f>#REF!</f>
        <v>#REF!</v>
      </c>
      <c r="FJ35" t="e">
        <f>#REF!</f>
        <v>#REF!</v>
      </c>
      <c r="FK35" t="e">
        <f>#REF!</f>
        <v>#REF!</v>
      </c>
      <c r="FL35" t="e">
        <f>#REF!</f>
        <v>#REF!</v>
      </c>
      <c r="FM35" t="e">
        <f>#REF!</f>
        <v>#REF!</v>
      </c>
      <c r="FN35" t="e">
        <f>#REF!</f>
        <v>#REF!</v>
      </c>
    </row>
    <row r="36" spans="1:170" ht="15" x14ac:dyDescent="0.25">
      <c r="A36" s="619">
        <v>1</v>
      </c>
      <c r="B36" s="133" t="e">
        <f>RIGHT(#REF!,LEN(#REF!)-(FIND("Standards",#REF!,1)+9))</f>
        <v>#REF!</v>
      </c>
      <c r="C36" s="620" t="e">
        <f>#REF!</f>
        <v>#REF!</v>
      </c>
      <c r="D36" s="620">
        <v>72691</v>
      </c>
      <c r="E36" s="621" t="e">
        <f>#REF!</f>
        <v>#REF!</v>
      </c>
      <c r="F36" s="621" t="e">
        <f>#REF!</f>
        <v>#REF!</v>
      </c>
      <c r="G36" s="619" t="e">
        <f>#REF!</f>
        <v>#REF!</v>
      </c>
      <c r="H36" s="619" t="e">
        <f>#REF!</f>
        <v>#REF!</v>
      </c>
      <c r="I36" s="621" t="e">
        <f>#REF!</f>
        <v>#REF!</v>
      </c>
      <c r="J36" s="619" t="e">
        <f>#REF!</f>
        <v>#REF!</v>
      </c>
      <c r="K36" s="621" t="e">
        <f>#REF!</f>
        <v>#REF!</v>
      </c>
      <c r="L36" s="622" t="e">
        <f>#REF!</f>
        <v>#REF!</v>
      </c>
      <c r="M36" s="622" t="e">
        <f>#REF!</f>
        <v>#REF!</v>
      </c>
      <c r="N36" t="e">
        <f>#REF!</f>
        <v>#REF!</v>
      </c>
      <c r="O36" t="e">
        <f>#REF!</f>
        <v>#REF!</v>
      </c>
      <c r="P36" t="e">
        <f>#REF!</f>
        <v>#REF!</v>
      </c>
      <c r="Q36" s="136" t="e">
        <f>#REF!</f>
        <v>#REF!</v>
      </c>
      <c r="R36" s="136" t="e">
        <f>#REF!</f>
        <v>#REF!</v>
      </c>
      <c r="S36" s="136" t="e">
        <f>#REF!</f>
        <v>#REF!</v>
      </c>
      <c r="T36" s="136" t="e">
        <f>#REF!</f>
        <v>#REF!</v>
      </c>
      <c r="U36" s="136" t="e">
        <f>#REF!</f>
        <v>#REF!</v>
      </c>
      <c r="V36" s="136" t="e">
        <f>#REF!</f>
        <v>#REF!</v>
      </c>
      <c r="W36" s="136" t="e">
        <f>#REF!</f>
        <v>#REF!</v>
      </c>
      <c r="X36" s="136" t="e">
        <f>#REF!</f>
        <v>#REF!</v>
      </c>
      <c r="Y36" s="136" t="e">
        <f>#REF!</f>
        <v>#REF!</v>
      </c>
      <c r="Z36" s="136" t="e">
        <f>#REF!</f>
        <v>#REF!</v>
      </c>
      <c r="AA36" s="136" t="e">
        <f>#REF!</f>
        <v>#REF!</v>
      </c>
      <c r="AB36" s="136" t="e">
        <f>#REF!</f>
        <v>#REF!</v>
      </c>
      <c r="AC36" s="136" t="e">
        <f>#REF!</f>
        <v>#REF!</v>
      </c>
      <c r="AD36" s="136" t="e">
        <f>#REF!</f>
        <v>#REF!</v>
      </c>
      <c r="AE36" s="136" t="e">
        <f>#REF!</f>
        <v>#REF!</v>
      </c>
      <c r="AF36" s="136" t="e">
        <f>#REF!</f>
        <v>#REF!</v>
      </c>
      <c r="AG36" s="136" t="e">
        <f>#REF!</f>
        <v>#REF!</v>
      </c>
      <c r="AH36" s="136" t="e">
        <f>#REF!</f>
        <v>#REF!</v>
      </c>
      <c r="AI36" s="136" t="e">
        <f>#REF!</f>
        <v>#REF!</v>
      </c>
      <c r="AJ36" s="136" t="e">
        <f>#REF!</f>
        <v>#REF!</v>
      </c>
      <c r="AK36" s="136" t="e">
        <f>#REF!</f>
        <v>#REF!</v>
      </c>
      <c r="AL36" s="136" t="e">
        <f>#REF!</f>
        <v>#REF!</v>
      </c>
      <c r="AM36" s="136" t="e">
        <f>#REF!</f>
        <v>#REF!</v>
      </c>
      <c r="AN36" t="e">
        <f>#REF!</f>
        <v>#REF!</v>
      </c>
      <c r="AO36" t="e">
        <f>#REF!</f>
        <v>#REF!</v>
      </c>
      <c r="AP36" t="e">
        <f>#REF!</f>
        <v>#REF!</v>
      </c>
      <c r="AQ36" t="e">
        <f>#REF!</f>
        <v>#REF!</v>
      </c>
      <c r="AR36" t="e">
        <f>#REF!</f>
        <v>#REF!</v>
      </c>
      <c r="AS36" s="136" t="e">
        <f>#REF!</f>
        <v>#REF!</v>
      </c>
      <c r="AT36" s="136" t="e">
        <f>#REF!</f>
        <v>#REF!</v>
      </c>
      <c r="AU36" s="136" t="e">
        <f>#REF!</f>
        <v>#REF!</v>
      </c>
      <c r="AV36" s="136" t="e">
        <f>#REF!</f>
        <v>#REF!</v>
      </c>
      <c r="AW36" s="136" t="e">
        <f>#REF!</f>
        <v>#REF!</v>
      </c>
      <c r="AX36" s="136" t="e">
        <f>#REF!</f>
        <v>#REF!</v>
      </c>
      <c r="AY36" s="136" t="e">
        <f>#REF!</f>
        <v>#REF!</v>
      </c>
      <c r="AZ36" s="136" t="e">
        <f>#REF!</f>
        <v>#REF!</v>
      </c>
      <c r="BA36" s="136" t="e">
        <f>#REF!</f>
        <v>#REF!</v>
      </c>
      <c r="BB36" s="136" t="e">
        <f>#REF!</f>
        <v>#REF!</v>
      </c>
      <c r="BC36" s="136" t="e">
        <f>#REF!</f>
        <v>#REF!</v>
      </c>
      <c r="BD36" s="136" t="e">
        <f>#REF!</f>
        <v>#REF!</v>
      </c>
      <c r="BE36" t="e">
        <f>#REF!</f>
        <v>#REF!</v>
      </c>
      <c r="BF36" s="136" t="e">
        <f>#REF!</f>
        <v>#REF!</v>
      </c>
      <c r="BG36" t="e">
        <f>#REF!</f>
        <v>#REF!</v>
      </c>
      <c r="BH36" s="136" t="e">
        <f>#REF!</f>
        <v>#REF!</v>
      </c>
      <c r="BI36" t="e">
        <f>#REF!</f>
        <v>#REF!</v>
      </c>
      <c r="BJ36" s="136" t="e">
        <f>#REF!</f>
        <v>#REF!</v>
      </c>
      <c r="BK36" s="136" t="e">
        <f>#REF!</f>
        <v>#REF!</v>
      </c>
      <c r="BL36" t="e">
        <f>#REF!</f>
        <v>#REF!</v>
      </c>
      <c r="BM36" t="e">
        <f>#REF!</f>
        <v>#REF!</v>
      </c>
      <c r="BN36" s="137" t="e">
        <f>#REF!</f>
        <v>#REF!</v>
      </c>
      <c r="BO36" s="137" t="e">
        <f>#REF!</f>
        <v>#REF!</v>
      </c>
      <c r="BP36" s="137" t="e">
        <f>#REF!</f>
        <v>#REF!</v>
      </c>
      <c r="BQ36" s="137" t="e">
        <f>#REF!</f>
        <v>#REF!</v>
      </c>
      <c r="BR36" s="137" t="e">
        <f>#REF!</f>
        <v>#REF!</v>
      </c>
      <c r="BS36" s="137" t="e">
        <f>#REF!</f>
        <v>#REF!</v>
      </c>
      <c r="BT36" s="137" t="e">
        <f>#REF!</f>
        <v>#REF!</v>
      </c>
      <c r="BU36" s="137" t="e">
        <f>#REF!</f>
        <v>#REF!</v>
      </c>
      <c r="BV36" s="137" t="e">
        <f>#REF!</f>
        <v>#REF!</v>
      </c>
      <c r="BW36" s="137" t="e">
        <f>#REF!</f>
        <v>#REF!</v>
      </c>
      <c r="BX36" s="137" t="e">
        <f>#REF!</f>
        <v>#REF!</v>
      </c>
      <c r="BY36" s="137" t="e">
        <f>#REF!</f>
        <v>#REF!</v>
      </c>
      <c r="BZ36" s="137" t="e">
        <f>#REF!</f>
        <v>#REF!</v>
      </c>
      <c r="CA36" s="137" t="e">
        <f>#REF!</f>
        <v>#REF!</v>
      </c>
      <c r="CB36" t="e">
        <f>#REF!</f>
        <v>#REF!</v>
      </c>
      <c r="CC36" t="e">
        <f>#REF!</f>
        <v>#REF!</v>
      </c>
      <c r="CD36" t="e">
        <f>#REF!</f>
        <v>#REF!</v>
      </c>
      <c r="CE36" t="e">
        <f>#REF!</f>
        <v>#REF!</v>
      </c>
      <c r="CF36" t="e">
        <f>#REF!</f>
        <v>#REF!</v>
      </c>
      <c r="CG36" t="e">
        <f>#REF!</f>
        <v>#REF!</v>
      </c>
      <c r="CH36" t="e">
        <f>#REF!</f>
        <v>#REF!</v>
      </c>
      <c r="CI36" t="e">
        <f>#REF!</f>
        <v>#REF!</v>
      </c>
      <c r="CJ36" s="136" t="e">
        <f>#REF!</f>
        <v>#REF!</v>
      </c>
      <c r="CK36" s="136" t="e">
        <f>#REF!</f>
        <v>#REF!</v>
      </c>
      <c r="CL36">
        <v>0</v>
      </c>
      <c r="CM36">
        <v>0</v>
      </c>
      <c r="CN36">
        <v>0</v>
      </c>
      <c r="CO36">
        <v>0</v>
      </c>
      <c r="CP36" t="e">
        <f>#REF!</f>
        <v>#REF!</v>
      </c>
      <c r="CQ36" t="e">
        <f>#REF!</f>
        <v>#REF!</v>
      </c>
      <c r="CR36" t="e">
        <f>#REF!</f>
        <v>#REF!</v>
      </c>
      <c r="CS36" t="e">
        <f>#REF!</f>
        <v>#REF!</v>
      </c>
      <c r="CT36" t="e">
        <f>#REF!</f>
        <v>#REF!</v>
      </c>
      <c r="CU36" t="e">
        <f>#REF!</f>
        <v>#REF!</v>
      </c>
      <c r="CV36" t="e">
        <f>#REF!</f>
        <v>#REF!</v>
      </c>
      <c r="CW36" t="e">
        <f>#REF!</f>
        <v>#REF!</v>
      </c>
      <c r="CX36" t="e">
        <f>#REF!</f>
        <v>#REF!</v>
      </c>
      <c r="CY36" t="e">
        <f>#REF!</f>
        <v>#REF!</v>
      </c>
      <c r="CZ36" t="e">
        <f>#REF!</f>
        <v>#REF!</v>
      </c>
      <c r="DA36" t="e">
        <f>#REF!</f>
        <v>#REF!</v>
      </c>
      <c r="DB36" t="e">
        <f>#REF!</f>
        <v>#REF!</v>
      </c>
      <c r="DC36" t="e">
        <f>#REF!</f>
        <v>#REF!</v>
      </c>
      <c r="DD36" t="e">
        <f>#REF!</f>
        <v>#REF!</v>
      </c>
      <c r="DE36" t="e">
        <f>#REF!</f>
        <v>#REF!</v>
      </c>
      <c r="DF36" t="e">
        <f>#REF!</f>
        <v>#REF!</v>
      </c>
      <c r="DG36" t="e">
        <f>#REF!</f>
        <v>#REF!</v>
      </c>
      <c r="DH36" t="e">
        <f>#REF!</f>
        <v>#REF!</v>
      </c>
      <c r="DI36" t="e">
        <f>#REF!</f>
        <v>#REF!</v>
      </c>
      <c r="DJ36" t="e">
        <f>#REF!</f>
        <v>#REF!</v>
      </c>
      <c r="DK36" t="e">
        <f>#REF!</f>
        <v>#REF!</v>
      </c>
      <c r="DL36" t="e">
        <f>#REF!</f>
        <v>#REF!</v>
      </c>
      <c r="DM36" t="e">
        <f>#REF!</f>
        <v>#REF!</v>
      </c>
      <c r="DN36" t="e">
        <f>#REF!</f>
        <v>#REF!</v>
      </c>
      <c r="DO36" t="e">
        <f>#REF!</f>
        <v>#REF!</v>
      </c>
      <c r="DP36" t="e">
        <f>#REF!</f>
        <v>#REF!</v>
      </c>
      <c r="DQ36" t="e">
        <f>#REF!</f>
        <v>#REF!</v>
      </c>
      <c r="DR36" t="e">
        <f>#REF!</f>
        <v>#REF!</v>
      </c>
      <c r="DS36" t="e">
        <f>#REF!</f>
        <v>#REF!</v>
      </c>
      <c r="DT36" t="e">
        <f>#REF!</f>
        <v>#REF!</v>
      </c>
      <c r="DU36" t="e">
        <f>#REF!</f>
        <v>#REF!</v>
      </c>
      <c r="DV36" t="e">
        <f>#REF!</f>
        <v>#REF!</v>
      </c>
      <c r="DW36" t="e">
        <f>#REF!</f>
        <v>#REF!</v>
      </c>
      <c r="DX36" t="e">
        <f>#REF!</f>
        <v>#REF!</v>
      </c>
      <c r="DY36" t="e">
        <f>#REF!</f>
        <v>#REF!</v>
      </c>
      <c r="DZ36" t="e">
        <f>#REF!</f>
        <v>#REF!</v>
      </c>
      <c r="EA36" t="e">
        <f>#REF!</f>
        <v>#REF!</v>
      </c>
      <c r="EB36" t="e">
        <f>#REF!</f>
        <v>#REF!</v>
      </c>
      <c r="EC36" t="e">
        <f>#REF!</f>
        <v>#REF!</v>
      </c>
      <c r="ED36" t="e">
        <f>#REF!</f>
        <v>#REF!</v>
      </c>
      <c r="EE36" t="e">
        <f>#REF!</f>
        <v>#REF!</v>
      </c>
      <c r="EF36" t="e">
        <f>#REF!</f>
        <v>#REF!</v>
      </c>
      <c r="EG36" t="e">
        <f>#REF!</f>
        <v>#REF!</v>
      </c>
      <c r="EH36" t="e">
        <f>#REF!</f>
        <v>#REF!</v>
      </c>
      <c r="EI36" t="e">
        <f>#REF!</f>
        <v>#REF!</v>
      </c>
      <c r="EJ36" t="e">
        <f>#REF!</f>
        <v>#REF!</v>
      </c>
      <c r="EK36" t="e">
        <f>#REF!</f>
        <v>#REF!</v>
      </c>
      <c r="EL36" t="e">
        <f>#REF!</f>
        <v>#REF!</v>
      </c>
      <c r="EM36" t="e">
        <f>#REF!</f>
        <v>#REF!</v>
      </c>
      <c r="EN36" t="e">
        <f>#REF!</f>
        <v>#REF!</v>
      </c>
      <c r="EO36" t="e">
        <f>#REF!</f>
        <v>#REF!</v>
      </c>
      <c r="EP36" t="e">
        <f>#REF!</f>
        <v>#REF!</v>
      </c>
      <c r="EQ36" t="e">
        <f>#REF!</f>
        <v>#REF!</v>
      </c>
      <c r="ER36" t="e">
        <f>#REF!</f>
        <v>#REF!</v>
      </c>
      <c r="ES36" t="e">
        <f>#REF!</f>
        <v>#REF!</v>
      </c>
      <c r="ET36" t="e">
        <f>#REF!</f>
        <v>#REF!</v>
      </c>
      <c r="EU36" t="e">
        <f>#REF!</f>
        <v>#REF!</v>
      </c>
      <c r="EV36" t="e">
        <f>#REF!</f>
        <v>#REF!</v>
      </c>
      <c r="EW36" t="e">
        <f>#REF!</f>
        <v>#REF!</v>
      </c>
      <c r="EX36" t="e">
        <f>#REF!</f>
        <v>#REF!</v>
      </c>
      <c r="EY36" t="e">
        <f>#REF!</f>
        <v>#REF!</v>
      </c>
      <c r="EZ36" t="e">
        <f>#REF!</f>
        <v>#REF!</v>
      </c>
      <c r="FA36" t="e">
        <f>#REF!</f>
        <v>#REF!</v>
      </c>
      <c r="FB36" t="e">
        <f>#REF!</f>
        <v>#REF!</v>
      </c>
      <c r="FC36" t="e">
        <f>#REF!</f>
        <v>#REF!</v>
      </c>
      <c r="FD36" t="e">
        <f>#REF!</f>
        <v>#REF!</v>
      </c>
      <c r="FE36" t="e">
        <f>#REF!</f>
        <v>#REF!</v>
      </c>
      <c r="FF36" t="e">
        <f>#REF!</f>
        <v>#REF!</v>
      </c>
      <c r="FG36" t="e">
        <f>#REF!</f>
        <v>#REF!</v>
      </c>
      <c r="FH36" t="e">
        <f>#REF!</f>
        <v>#REF!</v>
      </c>
      <c r="FI36" t="e">
        <f>#REF!</f>
        <v>#REF!</v>
      </c>
      <c r="FJ36" t="e">
        <f>#REF!</f>
        <v>#REF!</v>
      </c>
      <c r="FK36" t="e">
        <f>#REF!</f>
        <v>#REF!</v>
      </c>
      <c r="FL36" t="e">
        <f>#REF!</f>
        <v>#REF!</v>
      </c>
      <c r="FM36" t="e">
        <f>#REF!</f>
        <v>#REF!</v>
      </c>
      <c r="FN36" t="e">
        <f>#REF!</f>
        <v>#REF!</v>
      </c>
    </row>
    <row r="37" spans="1:170" ht="15" x14ac:dyDescent="0.25">
      <c r="A37" s="619">
        <v>1</v>
      </c>
      <c r="B37" s="133" t="e">
        <f>RIGHT(#REF!,LEN(#REF!)-(FIND("Standards",#REF!,1)+9))</f>
        <v>#REF!</v>
      </c>
      <c r="C37" s="620" t="e">
        <f>#REF!</f>
        <v>#REF!</v>
      </c>
      <c r="D37" s="620">
        <v>72692</v>
      </c>
      <c r="E37" s="621" t="e">
        <f>#REF!</f>
        <v>#REF!</v>
      </c>
      <c r="F37" s="621" t="e">
        <f>#REF!</f>
        <v>#REF!</v>
      </c>
      <c r="G37" s="619" t="e">
        <f>#REF!</f>
        <v>#REF!</v>
      </c>
      <c r="H37" s="619" t="e">
        <f>#REF!</f>
        <v>#REF!</v>
      </c>
      <c r="I37" s="621" t="e">
        <f>#REF!</f>
        <v>#REF!</v>
      </c>
      <c r="J37" s="619" t="e">
        <f>#REF!</f>
        <v>#REF!</v>
      </c>
      <c r="K37" s="621" t="e">
        <f>#REF!</f>
        <v>#REF!</v>
      </c>
      <c r="L37" s="622" t="e">
        <f>#REF!</f>
        <v>#REF!</v>
      </c>
      <c r="M37" s="622" t="e">
        <f>#REF!</f>
        <v>#REF!</v>
      </c>
      <c r="N37" t="e">
        <f>#REF!</f>
        <v>#REF!</v>
      </c>
      <c r="O37" t="e">
        <f>#REF!</f>
        <v>#REF!</v>
      </c>
      <c r="P37" t="e">
        <f>#REF!</f>
        <v>#REF!</v>
      </c>
      <c r="Q37" s="136" t="e">
        <f>#REF!</f>
        <v>#REF!</v>
      </c>
      <c r="R37" s="136" t="e">
        <f>#REF!</f>
        <v>#REF!</v>
      </c>
      <c r="S37" s="136" t="e">
        <f>#REF!</f>
        <v>#REF!</v>
      </c>
      <c r="T37" s="136" t="e">
        <f>#REF!</f>
        <v>#REF!</v>
      </c>
      <c r="U37" s="136" t="e">
        <f>#REF!</f>
        <v>#REF!</v>
      </c>
      <c r="V37" s="136" t="e">
        <f>#REF!</f>
        <v>#REF!</v>
      </c>
      <c r="W37" s="136" t="e">
        <f>#REF!</f>
        <v>#REF!</v>
      </c>
      <c r="X37" s="136" t="e">
        <f>#REF!</f>
        <v>#REF!</v>
      </c>
      <c r="Y37" s="136" t="e">
        <f>#REF!</f>
        <v>#REF!</v>
      </c>
      <c r="Z37" s="136" t="e">
        <f>#REF!</f>
        <v>#REF!</v>
      </c>
      <c r="AA37" s="136" t="e">
        <f>#REF!</f>
        <v>#REF!</v>
      </c>
      <c r="AB37" s="136" t="e">
        <f>#REF!</f>
        <v>#REF!</v>
      </c>
      <c r="AC37" s="136" t="e">
        <f>#REF!</f>
        <v>#REF!</v>
      </c>
      <c r="AD37" s="136" t="e">
        <f>#REF!</f>
        <v>#REF!</v>
      </c>
      <c r="AE37" s="136" t="e">
        <f>#REF!</f>
        <v>#REF!</v>
      </c>
      <c r="AF37" s="136" t="e">
        <f>#REF!</f>
        <v>#REF!</v>
      </c>
      <c r="AG37" s="136" t="e">
        <f>#REF!</f>
        <v>#REF!</v>
      </c>
      <c r="AH37" s="136" t="e">
        <f>#REF!</f>
        <v>#REF!</v>
      </c>
      <c r="AI37" s="136" t="e">
        <f>#REF!</f>
        <v>#REF!</v>
      </c>
      <c r="AJ37" s="136" t="e">
        <f>#REF!</f>
        <v>#REF!</v>
      </c>
      <c r="AK37" s="136" t="e">
        <f>#REF!</f>
        <v>#REF!</v>
      </c>
      <c r="AL37" s="136"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s="137" t="e">
        <f>#REF!</f>
        <v>#REF!</v>
      </c>
      <c r="BO37" s="137" t="e">
        <f>#REF!</f>
        <v>#REF!</v>
      </c>
      <c r="BP37" s="137" t="e">
        <f>#REF!</f>
        <v>#REF!</v>
      </c>
      <c r="BQ37" s="137" t="e">
        <f>#REF!</f>
        <v>#REF!</v>
      </c>
      <c r="BR37" s="137" t="e">
        <f>#REF!</f>
        <v>#REF!</v>
      </c>
      <c r="BS37" s="137" t="e">
        <f>#REF!</f>
        <v>#REF!</v>
      </c>
      <c r="BT37" s="137" t="e">
        <f>#REF!</f>
        <v>#REF!</v>
      </c>
      <c r="BU37" s="137" t="e">
        <f>#REF!</f>
        <v>#REF!</v>
      </c>
      <c r="BV37" s="137" t="e">
        <f>#REF!</f>
        <v>#REF!</v>
      </c>
      <c r="BW37" s="137" t="e">
        <f>#REF!</f>
        <v>#REF!</v>
      </c>
      <c r="BX37" s="137" t="e">
        <f>#REF!</f>
        <v>#REF!</v>
      </c>
      <c r="BY37" s="137" t="e">
        <f>#REF!</f>
        <v>#REF!</v>
      </c>
      <c r="BZ37" s="137" t="e">
        <f>#REF!</f>
        <v>#REF!</v>
      </c>
      <c r="CA37" s="137" t="e">
        <f>#REF!</f>
        <v>#REF!</v>
      </c>
      <c r="CB37" t="e">
        <f>#REF!</f>
        <v>#REF!</v>
      </c>
      <c r="CC37" t="e">
        <f>#REF!</f>
        <v>#REF!</v>
      </c>
      <c r="CD37" t="e">
        <f>#REF!</f>
        <v>#REF!</v>
      </c>
      <c r="CE37" t="e">
        <f>#REF!</f>
        <v>#REF!</v>
      </c>
      <c r="CF37" t="e">
        <f>#REF!</f>
        <v>#REF!</v>
      </c>
      <c r="CG37" t="e">
        <f>#REF!</f>
        <v>#REF!</v>
      </c>
      <c r="CH37" t="e">
        <f>#REF!</f>
        <v>#REF!</v>
      </c>
      <c r="CI37" t="e">
        <f>#REF!</f>
        <v>#REF!</v>
      </c>
      <c r="CJ37" s="136" t="e">
        <f>#REF!</f>
        <v>#REF!</v>
      </c>
      <c r="CK37" s="136" t="e">
        <f>#REF!</f>
        <v>#REF!</v>
      </c>
      <c r="CL37">
        <v>0</v>
      </c>
      <c r="CM37">
        <v>0</v>
      </c>
      <c r="CN37">
        <v>0</v>
      </c>
      <c r="CO37">
        <v>0</v>
      </c>
      <c r="CP37" t="e">
        <f>#REF!</f>
        <v>#REF!</v>
      </c>
      <c r="CQ37" t="e">
        <f>#REF!</f>
        <v>#REF!</v>
      </c>
      <c r="CR37" t="e">
        <f>#REF!</f>
        <v>#REF!</v>
      </c>
      <c r="CS37" t="e">
        <f>#REF!</f>
        <v>#REF!</v>
      </c>
      <c r="CT37" t="e">
        <f>#REF!</f>
        <v>#REF!</v>
      </c>
      <c r="CU37" t="e">
        <f>#REF!</f>
        <v>#REF!</v>
      </c>
      <c r="CV37" t="e">
        <f>#REF!</f>
        <v>#REF!</v>
      </c>
      <c r="CW37" t="e">
        <f>#REF!</f>
        <v>#REF!</v>
      </c>
      <c r="CX37" t="e">
        <f>#REF!</f>
        <v>#REF!</v>
      </c>
      <c r="CY37" t="e">
        <f>#REF!</f>
        <v>#REF!</v>
      </c>
      <c r="CZ37" t="e">
        <f>#REF!</f>
        <v>#REF!</v>
      </c>
      <c r="DA37" t="e">
        <f>#REF!</f>
        <v>#REF!</v>
      </c>
      <c r="DB37" t="e">
        <f>#REF!</f>
        <v>#REF!</v>
      </c>
      <c r="DC37" t="e">
        <f>#REF!</f>
        <v>#REF!</v>
      </c>
      <c r="DD37" t="e">
        <f>#REF!</f>
        <v>#REF!</v>
      </c>
      <c r="DE37" t="e">
        <f>#REF!</f>
        <v>#REF!</v>
      </c>
      <c r="DF37" t="e">
        <f>#REF!</f>
        <v>#REF!</v>
      </c>
      <c r="DG37" t="e">
        <f>#REF!</f>
        <v>#REF!</v>
      </c>
      <c r="DH37" t="e">
        <f>#REF!</f>
        <v>#REF!</v>
      </c>
      <c r="DI37" t="e">
        <f>#REF!</f>
        <v>#REF!</v>
      </c>
      <c r="DJ37" t="e">
        <f>#REF!</f>
        <v>#REF!</v>
      </c>
      <c r="DK37" t="e">
        <f>#REF!</f>
        <v>#REF!</v>
      </c>
      <c r="DL37" t="e">
        <f>#REF!</f>
        <v>#REF!</v>
      </c>
      <c r="DM37" t="e">
        <f>#REF!</f>
        <v>#REF!</v>
      </c>
      <c r="DN37" t="e">
        <f>#REF!</f>
        <v>#REF!</v>
      </c>
      <c r="DO37" t="e">
        <f>#REF!</f>
        <v>#REF!</v>
      </c>
      <c r="DP37" t="e">
        <f>#REF!</f>
        <v>#REF!</v>
      </c>
      <c r="DQ37" t="e">
        <f>#REF!</f>
        <v>#REF!</v>
      </c>
      <c r="DR37" t="e">
        <f>#REF!</f>
        <v>#REF!</v>
      </c>
      <c r="DS37" t="e">
        <f>#REF!</f>
        <v>#REF!</v>
      </c>
      <c r="DT37" t="e">
        <f>#REF!</f>
        <v>#REF!</v>
      </c>
      <c r="DU37" t="e">
        <f>#REF!</f>
        <v>#REF!</v>
      </c>
      <c r="DV37" t="e">
        <f>#REF!</f>
        <v>#REF!</v>
      </c>
      <c r="DW37" t="e">
        <f>#REF!</f>
        <v>#REF!</v>
      </c>
      <c r="DX37" t="e">
        <f>#REF!</f>
        <v>#REF!</v>
      </c>
      <c r="DY37" t="e">
        <f>#REF!</f>
        <v>#REF!</v>
      </c>
      <c r="DZ37" t="e">
        <f>#REF!</f>
        <v>#REF!</v>
      </c>
      <c r="EA37" t="e">
        <f>#REF!</f>
        <v>#REF!</v>
      </c>
      <c r="EB37" t="e">
        <f>#REF!</f>
        <v>#REF!</v>
      </c>
      <c r="EC37" t="e">
        <f>#REF!</f>
        <v>#REF!</v>
      </c>
      <c r="ED37" t="e">
        <f>#REF!</f>
        <v>#REF!</v>
      </c>
      <c r="EE37" t="e">
        <f>#REF!</f>
        <v>#REF!</v>
      </c>
      <c r="EF37" t="e">
        <f>#REF!</f>
        <v>#REF!</v>
      </c>
      <c r="EG37" t="e">
        <f>#REF!</f>
        <v>#REF!</v>
      </c>
      <c r="EH37" t="e">
        <f>#REF!</f>
        <v>#REF!</v>
      </c>
      <c r="EI37" t="e">
        <f>#REF!</f>
        <v>#REF!</v>
      </c>
      <c r="EJ37" t="e">
        <f>#REF!</f>
        <v>#REF!</v>
      </c>
      <c r="EK37" t="e">
        <f>#REF!</f>
        <v>#REF!</v>
      </c>
      <c r="EL37" t="e">
        <f>#REF!</f>
        <v>#REF!</v>
      </c>
      <c r="EM37" t="e">
        <f>#REF!</f>
        <v>#REF!</v>
      </c>
      <c r="EN37" t="e">
        <f>#REF!</f>
        <v>#REF!</v>
      </c>
      <c r="EO37" t="e">
        <f>#REF!</f>
        <v>#REF!</v>
      </c>
      <c r="EP37" t="e">
        <f>#REF!</f>
        <v>#REF!</v>
      </c>
      <c r="EQ37" t="e">
        <f>#REF!</f>
        <v>#REF!</v>
      </c>
      <c r="ER37" t="e">
        <f>#REF!</f>
        <v>#REF!</v>
      </c>
      <c r="ES37" t="e">
        <f>#REF!</f>
        <v>#REF!</v>
      </c>
      <c r="ET37" t="e">
        <f>#REF!</f>
        <v>#REF!</v>
      </c>
      <c r="EU37" t="e">
        <f>#REF!</f>
        <v>#REF!</v>
      </c>
      <c r="EV37" t="e">
        <f>#REF!</f>
        <v>#REF!</v>
      </c>
      <c r="EW37" t="e">
        <f>#REF!</f>
        <v>#REF!</v>
      </c>
      <c r="EX37" t="e">
        <f>#REF!</f>
        <v>#REF!</v>
      </c>
      <c r="EY37" t="e">
        <f>#REF!</f>
        <v>#REF!</v>
      </c>
      <c r="EZ37" t="e">
        <f>#REF!</f>
        <v>#REF!</v>
      </c>
      <c r="FA37" t="e">
        <f>#REF!</f>
        <v>#REF!</v>
      </c>
      <c r="FB37" t="e">
        <f>#REF!</f>
        <v>#REF!</v>
      </c>
      <c r="FC37" t="e">
        <f>#REF!</f>
        <v>#REF!</v>
      </c>
      <c r="FD37" t="e">
        <f>#REF!</f>
        <v>#REF!</v>
      </c>
      <c r="FE37" t="e">
        <f>#REF!</f>
        <v>#REF!</v>
      </c>
      <c r="FF37" t="e">
        <f>#REF!</f>
        <v>#REF!</v>
      </c>
      <c r="FG37" t="e">
        <f>#REF!</f>
        <v>#REF!</v>
      </c>
      <c r="FH37" t="e">
        <f>#REF!</f>
        <v>#REF!</v>
      </c>
      <c r="FI37" t="e">
        <f>#REF!</f>
        <v>#REF!</v>
      </c>
      <c r="FJ37" t="e">
        <f>#REF!</f>
        <v>#REF!</v>
      </c>
      <c r="FK37" t="e">
        <f>#REF!</f>
        <v>#REF!</v>
      </c>
      <c r="FL37" t="e">
        <f>#REF!</f>
        <v>#REF!</v>
      </c>
      <c r="FM37" t="e">
        <f>#REF!</f>
        <v>#REF!</v>
      </c>
      <c r="FN37" t="e">
        <f>#REF!</f>
        <v>#REF!</v>
      </c>
    </row>
    <row r="38" spans="1:170" ht="15" x14ac:dyDescent="0.25">
      <c r="A38" s="619">
        <v>1</v>
      </c>
      <c r="B38" s="133" t="e">
        <f>RIGHT(#REF!,LEN(#REF!)-(FIND("Standards",#REF!,1)+9))</f>
        <v>#REF!</v>
      </c>
      <c r="C38" s="620" t="e">
        <f>#REF!</f>
        <v>#REF!</v>
      </c>
      <c r="D38" s="620">
        <v>72693</v>
      </c>
      <c r="E38" s="621" t="e">
        <f>#REF!</f>
        <v>#REF!</v>
      </c>
      <c r="F38" s="621" t="e">
        <f>#REF!</f>
        <v>#REF!</v>
      </c>
      <c r="G38" s="619" t="e">
        <f>#REF!</f>
        <v>#REF!</v>
      </c>
      <c r="H38" s="619" t="e">
        <f>#REF!</f>
        <v>#REF!</v>
      </c>
      <c r="I38" s="621" t="e">
        <f>#REF!</f>
        <v>#REF!</v>
      </c>
      <c r="J38" s="619" t="e">
        <f>#REF!</f>
        <v>#REF!</v>
      </c>
      <c r="K38" s="621" t="e">
        <f>#REF!</f>
        <v>#REF!</v>
      </c>
      <c r="L38" s="622" t="e">
        <f>#REF!</f>
        <v>#REF!</v>
      </c>
      <c r="M38" s="622" t="e">
        <f>#REF!</f>
        <v>#REF!</v>
      </c>
      <c r="N38" t="e">
        <f>#REF!</f>
        <v>#REF!</v>
      </c>
      <c r="O38" t="e">
        <f>#REF!</f>
        <v>#REF!</v>
      </c>
      <c r="P38" t="e">
        <f>#REF!</f>
        <v>#REF!</v>
      </c>
      <c r="Q38" s="136" t="e">
        <f>#REF!</f>
        <v>#REF!</v>
      </c>
      <c r="R38" s="136" t="e">
        <f>#REF!</f>
        <v>#REF!</v>
      </c>
      <c r="S38" s="136" t="e">
        <f>#REF!</f>
        <v>#REF!</v>
      </c>
      <c r="T38" s="136" t="e">
        <f>#REF!</f>
        <v>#REF!</v>
      </c>
      <c r="U38" s="136" t="e">
        <f>#REF!</f>
        <v>#REF!</v>
      </c>
      <c r="V38" s="136" t="e">
        <f>#REF!</f>
        <v>#REF!</v>
      </c>
      <c r="W38" s="136" t="e">
        <f>#REF!</f>
        <v>#REF!</v>
      </c>
      <c r="X38" s="136" t="e">
        <f>#REF!</f>
        <v>#REF!</v>
      </c>
      <c r="Y38" s="136" t="e">
        <f>#REF!</f>
        <v>#REF!</v>
      </c>
      <c r="Z38" s="136" t="e">
        <f>#REF!</f>
        <v>#REF!</v>
      </c>
      <c r="AA38" s="136" t="e">
        <f>#REF!</f>
        <v>#REF!</v>
      </c>
      <c r="AB38" s="136" t="e">
        <f>#REF!</f>
        <v>#REF!</v>
      </c>
      <c r="AC38" s="136" t="e">
        <f>#REF!</f>
        <v>#REF!</v>
      </c>
      <c r="AD38" s="136" t="e">
        <f>#REF!</f>
        <v>#REF!</v>
      </c>
      <c r="AE38" s="136" t="e">
        <f>#REF!</f>
        <v>#REF!</v>
      </c>
      <c r="AF38" s="136" t="e">
        <f>#REF!</f>
        <v>#REF!</v>
      </c>
      <c r="AG38" s="136" t="e">
        <f>#REF!</f>
        <v>#REF!</v>
      </c>
      <c r="AH38" s="136" t="e">
        <f>#REF!</f>
        <v>#REF!</v>
      </c>
      <c r="AI38" s="136" t="e">
        <f>#REF!</f>
        <v>#REF!</v>
      </c>
      <c r="AJ38" s="136" t="e">
        <f>#REF!</f>
        <v>#REF!</v>
      </c>
      <c r="AK38" s="136" t="e">
        <f>#REF!</f>
        <v>#REF!</v>
      </c>
      <c r="AL38" s="136"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s="137" t="e">
        <f>#REF!</f>
        <v>#REF!</v>
      </c>
      <c r="BO38" s="137" t="e">
        <f>#REF!</f>
        <v>#REF!</v>
      </c>
      <c r="BP38" s="137" t="e">
        <f>#REF!</f>
        <v>#REF!</v>
      </c>
      <c r="BQ38" s="137" t="e">
        <f>#REF!</f>
        <v>#REF!</v>
      </c>
      <c r="BR38" s="137" t="e">
        <f>#REF!</f>
        <v>#REF!</v>
      </c>
      <c r="BS38" s="137" t="e">
        <f>#REF!</f>
        <v>#REF!</v>
      </c>
      <c r="BT38" s="137" t="e">
        <f>#REF!</f>
        <v>#REF!</v>
      </c>
      <c r="BU38" s="137" t="e">
        <f>#REF!</f>
        <v>#REF!</v>
      </c>
      <c r="BV38" s="137" t="e">
        <f>#REF!</f>
        <v>#REF!</v>
      </c>
      <c r="BW38" s="137" t="e">
        <f>#REF!</f>
        <v>#REF!</v>
      </c>
      <c r="BX38" s="137" t="e">
        <f>#REF!</f>
        <v>#REF!</v>
      </c>
      <c r="BY38" s="137" t="e">
        <f>#REF!</f>
        <v>#REF!</v>
      </c>
      <c r="BZ38" s="137" t="e">
        <f>#REF!</f>
        <v>#REF!</v>
      </c>
      <c r="CA38" s="137" t="e">
        <f>#REF!</f>
        <v>#REF!</v>
      </c>
      <c r="CB38" t="e">
        <f>#REF!</f>
        <v>#REF!</v>
      </c>
      <c r="CC38" t="e">
        <f>#REF!</f>
        <v>#REF!</v>
      </c>
      <c r="CD38" t="e">
        <f>#REF!</f>
        <v>#REF!</v>
      </c>
      <c r="CE38" t="e">
        <f>#REF!</f>
        <v>#REF!</v>
      </c>
      <c r="CF38" t="e">
        <f>#REF!</f>
        <v>#REF!</v>
      </c>
      <c r="CG38" t="e">
        <f>#REF!</f>
        <v>#REF!</v>
      </c>
      <c r="CH38" t="e">
        <f>#REF!</f>
        <v>#REF!</v>
      </c>
      <c r="CI38" t="e">
        <f>#REF!</f>
        <v>#REF!</v>
      </c>
      <c r="CJ38" s="136" t="e">
        <f>#REF!</f>
        <v>#REF!</v>
      </c>
      <c r="CK38" s="136" t="e">
        <f>#REF!</f>
        <v>#REF!</v>
      </c>
      <c r="CL38">
        <v>0</v>
      </c>
      <c r="CM38">
        <v>0</v>
      </c>
      <c r="CN38">
        <v>0</v>
      </c>
      <c r="CO38">
        <v>0</v>
      </c>
      <c r="CP38" t="e">
        <f>#REF!</f>
        <v>#REF!</v>
      </c>
      <c r="CQ38" t="e">
        <f>#REF!</f>
        <v>#REF!</v>
      </c>
      <c r="CR38" t="e">
        <f>#REF!</f>
        <v>#REF!</v>
      </c>
      <c r="CS38" t="e">
        <f>#REF!</f>
        <v>#REF!</v>
      </c>
      <c r="CT38" t="e">
        <f>#REF!</f>
        <v>#REF!</v>
      </c>
      <c r="CU38" t="e">
        <f>#REF!</f>
        <v>#REF!</v>
      </c>
      <c r="CV38" t="e">
        <f>#REF!</f>
        <v>#REF!</v>
      </c>
      <c r="CW38" t="e">
        <f>#REF!</f>
        <v>#REF!</v>
      </c>
      <c r="CX38" t="e">
        <f>#REF!</f>
        <v>#REF!</v>
      </c>
      <c r="CY38" t="e">
        <f>#REF!</f>
        <v>#REF!</v>
      </c>
      <c r="CZ38" t="e">
        <f>#REF!</f>
        <v>#REF!</v>
      </c>
      <c r="DA38" t="e">
        <f>#REF!</f>
        <v>#REF!</v>
      </c>
      <c r="DB38" t="e">
        <f>#REF!</f>
        <v>#REF!</v>
      </c>
      <c r="DC38" t="e">
        <f>#REF!</f>
        <v>#REF!</v>
      </c>
      <c r="DD38" t="e">
        <f>#REF!</f>
        <v>#REF!</v>
      </c>
      <c r="DE38" t="e">
        <f>#REF!</f>
        <v>#REF!</v>
      </c>
      <c r="DF38" t="e">
        <f>#REF!</f>
        <v>#REF!</v>
      </c>
      <c r="DG38" t="e">
        <f>#REF!</f>
        <v>#REF!</v>
      </c>
      <c r="DH38" t="e">
        <f>#REF!</f>
        <v>#REF!</v>
      </c>
      <c r="DI38" t="e">
        <f>#REF!</f>
        <v>#REF!</v>
      </c>
      <c r="DJ38" t="e">
        <f>#REF!</f>
        <v>#REF!</v>
      </c>
      <c r="DK38" t="e">
        <f>#REF!</f>
        <v>#REF!</v>
      </c>
      <c r="DL38" t="e">
        <f>#REF!</f>
        <v>#REF!</v>
      </c>
      <c r="DM38" t="e">
        <f>#REF!</f>
        <v>#REF!</v>
      </c>
      <c r="DN38" t="e">
        <f>#REF!</f>
        <v>#REF!</v>
      </c>
      <c r="DO38" t="e">
        <f>#REF!</f>
        <v>#REF!</v>
      </c>
      <c r="DP38" t="e">
        <f>#REF!</f>
        <v>#REF!</v>
      </c>
      <c r="DQ38" t="e">
        <f>#REF!</f>
        <v>#REF!</v>
      </c>
      <c r="DR38" t="e">
        <f>#REF!</f>
        <v>#REF!</v>
      </c>
      <c r="DS38" t="e">
        <f>#REF!</f>
        <v>#REF!</v>
      </c>
      <c r="DT38" t="e">
        <f>#REF!</f>
        <v>#REF!</v>
      </c>
      <c r="DU38" t="e">
        <f>#REF!</f>
        <v>#REF!</v>
      </c>
      <c r="DV38" t="e">
        <f>#REF!</f>
        <v>#REF!</v>
      </c>
      <c r="DW38" t="e">
        <f>#REF!</f>
        <v>#REF!</v>
      </c>
      <c r="DX38" t="e">
        <f>#REF!</f>
        <v>#REF!</v>
      </c>
      <c r="DY38" t="e">
        <f>#REF!</f>
        <v>#REF!</v>
      </c>
      <c r="DZ38" t="e">
        <f>#REF!</f>
        <v>#REF!</v>
      </c>
      <c r="EA38" t="e">
        <f>#REF!</f>
        <v>#REF!</v>
      </c>
      <c r="EB38" t="e">
        <f>#REF!</f>
        <v>#REF!</v>
      </c>
      <c r="EC38" t="e">
        <f>#REF!</f>
        <v>#REF!</v>
      </c>
      <c r="ED38" t="e">
        <f>#REF!</f>
        <v>#REF!</v>
      </c>
      <c r="EE38" t="e">
        <f>#REF!</f>
        <v>#REF!</v>
      </c>
      <c r="EF38" t="e">
        <f>#REF!</f>
        <v>#REF!</v>
      </c>
      <c r="EG38" t="e">
        <f>#REF!</f>
        <v>#REF!</v>
      </c>
      <c r="EH38" t="e">
        <f>#REF!</f>
        <v>#REF!</v>
      </c>
      <c r="EI38" t="e">
        <f>#REF!</f>
        <v>#REF!</v>
      </c>
      <c r="EJ38" t="e">
        <f>#REF!</f>
        <v>#REF!</v>
      </c>
      <c r="EK38" t="e">
        <f>#REF!</f>
        <v>#REF!</v>
      </c>
      <c r="EL38" t="e">
        <f>#REF!</f>
        <v>#REF!</v>
      </c>
      <c r="EM38" t="e">
        <f>#REF!</f>
        <v>#REF!</v>
      </c>
      <c r="EN38" t="e">
        <f>#REF!</f>
        <v>#REF!</v>
      </c>
      <c r="EO38" t="e">
        <f>#REF!</f>
        <v>#REF!</v>
      </c>
      <c r="EP38" t="e">
        <f>#REF!</f>
        <v>#REF!</v>
      </c>
      <c r="EQ38" t="e">
        <f>#REF!</f>
        <v>#REF!</v>
      </c>
      <c r="ER38" t="e">
        <f>#REF!</f>
        <v>#REF!</v>
      </c>
      <c r="ES38" t="e">
        <f>#REF!</f>
        <v>#REF!</v>
      </c>
      <c r="ET38" t="e">
        <f>#REF!</f>
        <v>#REF!</v>
      </c>
      <c r="EU38" t="e">
        <f>#REF!</f>
        <v>#REF!</v>
      </c>
      <c r="EV38" t="e">
        <f>#REF!</f>
        <v>#REF!</v>
      </c>
      <c r="EW38" t="e">
        <f>#REF!</f>
        <v>#REF!</v>
      </c>
      <c r="EX38" t="e">
        <f>#REF!</f>
        <v>#REF!</v>
      </c>
      <c r="EY38" t="e">
        <f>#REF!</f>
        <v>#REF!</v>
      </c>
      <c r="EZ38" t="e">
        <f>#REF!</f>
        <v>#REF!</v>
      </c>
      <c r="FA38" t="e">
        <f>#REF!</f>
        <v>#REF!</v>
      </c>
      <c r="FB38" t="e">
        <f>#REF!</f>
        <v>#REF!</v>
      </c>
      <c r="FC38" t="e">
        <f>#REF!</f>
        <v>#REF!</v>
      </c>
      <c r="FD38" t="e">
        <f>#REF!</f>
        <v>#REF!</v>
      </c>
      <c r="FE38" t="e">
        <f>#REF!</f>
        <v>#REF!</v>
      </c>
      <c r="FF38" t="e">
        <f>#REF!</f>
        <v>#REF!</v>
      </c>
      <c r="FG38" t="e">
        <f>#REF!</f>
        <v>#REF!</v>
      </c>
      <c r="FH38" t="e">
        <f>#REF!</f>
        <v>#REF!</v>
      </c>
      <c r="FI38" t="e">
        <f>#REF!</f>
        <v>#REF!</v>
      </c>
      <c r="FJ38" t="e">
        <f>#REF!</f>
        <v>#REF!</v>
      </c>
      <c r="FK38" t="e">
        <f>#REF!</f>
        <v>#REF!</v>
      </c>
      <c r="FL38" t="e">
        <f>#REF!</f>
        <v>#REF!</v>
      </c>
      <c r="FM38" t="e">
        <f>#REF!</f>
        <v>#REF!</v>
      </c>
      <c r="FN38" t="e">
        <f>#REF!</f>
        <v>#REF!</v>
      </c>
    </row>
    <row r="39" spans="1:170" ht="15" x14ac:dyDescent="0.25">
      <c r="A39" s="619">
        <v>1</v>
      </c>
      <c r="B39" s="133" t="e">
        <f>RIGHT(#REF!,LEN(#REF!)-(FIND("Standards",#REF!,1)+9))</f>
        <v>#REF!</v>
      </c>
      <c r="C39" s="620" t="e">
        <f>#REF!</f>
        <v>#REF!</v>
      </c>
      <c r="D39" s="620">
        <v>72694</v>
      </c>
      <c r="E39" s="621" t="e">
        <f>#REF!</f>
        <v>#REF!</v>
      </c>
      <c r="F39" s="621" t="e">
        <f>#REF!</f>
        <v>#REF!</v>
      </c>
      <c r="G39" s="619" t="e">
        <f>#REF!</f>
        <v>#REF!</v>
      </c>
      <c r="H39" s="619" t="e">
        <f>#REF!</f>
        <v>#REF!</v>
      </c>
      <c r="I39" s="621" t="e">
        <f>#REF!</f>
        <v>#REF!</v>
      </c>
      <c r="J39" s="619" t="e">
        <f>#REF!</f>
        <v>#REF!</v>
      </c>
      <c r="K39" s="621" t="e">
        <f>#REF!</f>
        <v>#REF!</v>
      </c>
      <c r="L39" s="622" t="e">
        <f>#REF!</f>
        <v>#REF!</v>
      </c>
      <c r="M39" s="622" t="e">
        <f>#REF!</f>
        <v>#REF!</v>
      </c>
      <c r="N39" t="e">
        <f>#REF!</f>
        <v>#REF!</v>
      </c>
      <c r="O39" t="e">
        <f>#REF!</f>
        <v>#REF!</v>
      </c>
      <c r="P39" t="e">
        <f>#REF!</f>
        <v>#REF!</v>
      </c>
      <c r="Q39" s="136" t="e">
        <f>#REF!</f>
        <v>#REF!</v>
      </c>
      <c r="R39" s="136" t="e">
        <f>#REF!</f>
        <v>#REF!</v>
      </c>
      <c r="S39" s="136" t="e">
        <f>#REF!</f>
        <v>#REF!</v>
      </c>
      <c r="T39" s="136" t="e">
        <f>#REF!</f>
        <v>#REF!</v>
      </c>
      <c r="U39" s="136" t="e">
        <f>#REF!</f>
        <v>#REF!</v>
      </c>
      <c r="V39" s="136" t="e">
        <f>#REF!</f>
        <v>#REF!</v>
      </c>
      <c r="W39" s="136" t="e">
        <f>#REF!</f>
        <v>#REF!</v>
      </c>
      <c r="X39" s="136" t="e">
        <f>#REF!</f>
        <v>#REF!</v>
      </c>
      <c r="Y39" s="136" t="e">
        <f>#REF!</f>
        <v>#REF!</v>
      </c>
      <c r="Z39" s="136" t="e">
        <f>#REF!</f>
        <v>#REF!</v>
      </c>
      <c r="AA39" s="136" t="e">
        <f>#REF!</f>
        <v>#REF!</v>
      </c>
      <c r="AB39" s="136" t="e">
        <f>#REF!</f>
        <v>#REF!</v>
      </c>
      <c r="AC39" s="136" t="e">
        <f>#REF!</f>
        <v>#REF!</v>
      </c>
      <c r="AD39" s="136" t="e">
        <f>#REF!</f>
        <v>#REF!</v>
      </c>
      <c r="AE39" s="136" t="e">
        <f>#REF!</f>
        <v>#REF!</v>
      </c>
      <c r="AF39" s="136" t="e">
        <f>#REF!</f>
        <v>#REF!</v>
      </c>
      <c r="AG39" s="136" t="e">
        <f>#REF!</f>
        <v>#REF!</v>
      </c>
      <c r="AH39" s="136" t="e">
        <f>#REF!</f>
        <v>#REF!</v>
      </c>
      <c r="AI39" s="136" t="e">
        <f>#REF!</f>
        <v>#REF!</v>
      </c>
      <c r="AJ39" s="136" t="e">
        <f>#REF!</f>
        <v>#REF!</v>
      </c>
      <c r="AK39" s="136" t="e">
        <f>#REF!</f>
        <v>#REF!</v>
      </c>
      <c r="AL39" s="136"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s="137" t="e">
        <f>#REF!</f>
        <v>#REF!</v>
      </c>
      <c r="BO39" s="137" t="e">
        <f>#REF!</f>
        <v>#REF!</v>
      </c>
      <c r="BP39" s="137" t="e">
        <f>#REF!</f>
        <v>#REF!</v>
      </c>
      <c r="BQ39" s="137" t="e">
        <f>#REF!</f>
        <v>#REF!</v>
      </c>
      <c r="BR39" s="137" t="e">
        <f>#REF!</f>
        <v>#REF!</v>
      </c>
      <c r="BS39" s="137" t="e">
        <f>#REF!</f>
        <v>#REF!</v>
      </c>
      <c r="BT39" s="137" t="e">
        <f>#REF!</f>
        <v>#REF!</v>
      </c>
      <c r="BU39" s="137" t="e">
        <f>#REF!</f>
        <v>#REF!</v>
      </c>
      <c r="BV39" s="137" t="e">
        <f>#REF!</f>
        <v>#REF!</v>
      </c>
      <c r="BW39" s="137" t="e">
        <f>#REF!</f>
        <v>#REF!</v>
      </c>
      <c r="BX39" s="137" t="e">
        <f>#REF!</f>
        <v>#REF!</v>
      </c>
      <c r="BY39" s="137" t="e">
        <f>#REF!</f>
        <v>#REF!</v>
      </c>
      <c r="BZ39" s="137" t="e">
        <f>#REF!</f>
        <v>#REF!</v>
      </c>
      <c r="CA39" s="137" t="e">
        <f>#REF!</f>
        <v>#REF!</v>
      </c>
      <c r="CB39" t="e">
        <f>#REF!</f>
        <v>#REF!</v>
      </c>
      <c r="CC39" t="e">
        <f>#REF!</f>
        <v>#REF!</v>
      </c>
      <c r="CD39" t="e">
        <f>#REF!</f>
        <v>#REF!</v>
      </c>
      <c r="CE39" t="e">
        <f>#REF!</f>
        <v>#REF!</v>
      </c>
      <c r="CF39" t="e">
        <f>#REF!</f>
        <v>#REF!</v>
      </c>
      <c r="CG39" t="e">
        <f>#REF!</f>
        <v>#REF!</v>
      </c>
      <c r="CH39" t="e">
        <f>#REF!</f>
        <v>#REF!</v>
      </c>
      <c r="CI39" t="e">
        <f>#REF!</f>
        <v>#REF!</v>
      </c>
      <c r="CJ39" s="136" t="e">
        <f>#REF!</f>
        <v>#REF!</v>
      </c>
      <c r="CK39" s="136" t="e">
        <f>#REF!</f>
        <v>#REF!</v>
      </c>
      <c r="CL39">
        <v>0</v>
      </c>
      <c r="CM39">
        <v>0</v>
      </c>
      <c r="CN39">
        <v>0</v>
      </c>
      <c r="CO39">
        <v>0</v>
      </c>
      <c r="CP39" t="e">
        <f>#REF!</f>
        <v>#REF!</v>
      </c>
      <c r="CQ39" t="e">
        <f>#REF!</f>
        <v>#REF!</v>
      </c>
      <c r="CR39" t="e">
        <f>#REF!</f>
        <v>#REF!</v>
      </c>
      <c r="CS39" t="e">
        <f>#REF!</f>
        <v>#REF!</v>
      </c>
      <c r="CT39" t="e">
        <f>#REF!</f>
        <v>#REF!</v>
      </c>
      <c r="CU39" t="e">
        <f>#REF!</f>
        <v>#REF!</v>
      </c>
      <c r="CV39" t="e">
        <f>#REF!</f>
        <v>#REF!</v>
      </c>
      <c r="CW39" t="e">
        <f>#REF!</f>
        <v>#REF!</v>
      </c>
      <c r="CX39" t="e">
        <f>#REF!</f>
        <v>#REF!</v>
      </c>
      <c r="CY39" t="e">
        <f>#REF!</f>
        <v>#REF!</v>
      </c>
      <c r="CZ39" t="e">
        <f>#REF!</f>
        <v>#REF!</v>
      </c>
      <c r="DA39" t="e">
        <f>#REF!</f>
        <v>#REF!</v>
      </c>
      <c r="DB39" t="e">
        <f>#REF!</f>
        <v>#REF!</v>
      </c>
      <c r="DC39" t="e">
        <f>#REF!</f>
        <v>#REF!</v>
      </c>
      <c r="DD39" t="e">
        <f>#REF!</f>
        <v>#REF!</v>
      </c>
      <c r="DE39" t="e">
        <f>#REF!</f>
        <v>#REF!</v>
      </c>
      <c r="DF39" t="e">
        <f>#REF!</f>
        <v>#REF!</v>
      </c>
      <c r="DG39" t="e">
        <f>#REF!</f>
        <v>#REF!</v>
      </c>
      <c r="DH39" t="e">
        <f>#REF!</f>
        <v>#REF!</v>
      </c>
      <c r="DI39" t="e">
        <f>#REF!</f>
        <v>#REF!</v>
      </c>
      <c r="DJ39" t="e">
        <f>#REF!</f>
        <v>#REF!</v>
      </c>
      <c r="DK39" t="e">
        <f>#REF!</f>
        <v>#REF!</v>
      </c>
      <c r="DL39" t="e">
        <f>#REF!</f>
        <v>#REF!</v>
      </c>
      <c r="DM39" t="e">
        <f>#REF!</f>
        <v>#REF!</v>
      </c>
      <c r="DN39" t="e">
        <f>#REF!</f>
        <v>#REF!</v>
      </c>
      <c r="DO39" t="e">
        <f>#REF!</f>
        <v>#REF!</v>
      </c>
      <c r="DP39" t="e">
        <f>#REF!</f>
        <v>#REF!</v>
      </c>
      <c r="DQ39" t="e">
        <f>#REF!</f>
        <v>#REF!</v>
      </c>
      <c r="DR39" t="e">
        <f>#REF!</f>
        <v>#REF!</v>
      </c>
      <c r="DS39" t="e">
        <f>#REF!</f>
        <v>#REF!</v>
      </c>
      <c r="DT39" t="e">
        <f>#REF!</f>
        <v>#REF!</v>
      </c>
      <c r="DU39" t="e">
        <f>#REF!</f>
        <v>#REF!</v>
      </c>
      <c r="DV39" t="e">
        <f>#REF!</f>
        <v>#REF!</v>
      </c>
      <c r="DW39" t="e">
        <f>#REF!</f>
        <v>#REF!</v>
      </c>
      <c r="DX39" t="e">
        <f>#REF!</f>
        <v>#REF!</v>
      </c>
      <c r="DY39" t="e">
        <f>#REF!</f>
        <v>#REF!</v>
      </c>
      <c r="DZ39" t="e">
        <f>#REF!</f>
        <v>#REF!</v>
      </c>
      <c r="EA39" t="e">
        <f>#REF!</f>
        <v>#REF!</v>
      </c>
      <c r="EB39" t="e">
        <f>#REF!</f>
        <v>#REF!</v>
      </c>
      <c r="EC39" t="e">
        <f>#REF!</f>
        <v>#REF!</v>
      </c>
      <c r="ED39" t="e">
        <f>#REF!</f>
        <v>#REF!</v>
      </c>
      <c r="EE39" t="e">
        <f>#REF!</f>
        <v>#REF!</v>
      </c>
      <c r="EF39" t="e">
        <f>#REF!</f>
        <v>#REF!</v>
      </c>
      <c r="EG39" t="e">
        <f>#REF!</f>
        <v>#REF!</v>
      </c>
      <c r="EH39" t="e">
        <f>#REF!</f>
        <v>#REF!</v>
      </c>
      <c r="EI39" t="e">
        <f>#REF!</f>
        <v>#REF!</v>
      </c>
      <c r="EJ39" t="e">
        <f>#REF!</f>
        <v>#REF!</v>
      </c>
      <c r="EK39" t="e">
        <f>#REF!</f>
        <v>#REF!</v>
      </c>
      <c r="EL39" t="e">
        <f>#REF!</f>
        <v>#REF!</v>
      </c>
      <c r="EM39" t="e">
        <f>#REF!</f>
        <v>#REF!</v>
      </c>
      <c r="EN39" t="e">
        <f>#REF!</f>
        <v>#REF!</v>
      </c>
      <c r="EO39" t="e">
        <f>#REF!</f>
        <v>#REF!</v>
      </c>
      <c r="EP39" t="e">
        <f>#REF!</f>
        <v>#REF!</v>
      </c>
      <c r="EQ39" t="e">
        <f>#REF!</f>
        <v>#REF!</v>
      </c>
      <c r="ER39" t="e">
        <f>#REF!</f>
        <v>#REF!</v>
      </c>
      <c r="ES39" t="e">
        <f>#REF!</f>
        <v>#REF!</v>
      </c>
      <c r="ET39" t="e">
        <f>#REF!</f>
        <v>#REF!</v>
      </c>
      <c r="EU39" t="e">
        <f>#REF!</f>
        <v>#REF!</v>
      </c>
      <c r="EV39" t="e">
        <f>#REF!</f>
        <v>#REF!</v>
      </c>
      <c r="EW39" t="e">
        <f>#REF!</f>
        <v>#REF!</v>
      </c>
      <c r="EX39" t="e">
        <f>#REF!</f>
        <v>#REF!</v>
      </c>
      <c r="EY39" t="e">
        <f>#REF!</f>
        <v>#REF!</v>
      </c>
      <c r="EZ39" t="e">
        <f>#REF!</f>
        <v>#REF!</v>
      </c>
      <c r="FA39" t="e">
        <f>#REF!</f>
        <v>#REF!</v>
      </c>
      <c r="FB39" t="e">
        <f>#REF!</f>
        <v>#REF!</v>
      </c>
      <c r="FC39" t="e">
        <f>#REF!</f>
        <v>#REF!</v>
      </c>
      <c r="FD39" t="e">
        <f>#REF!</f>
        <v>#REF!</v>
      </c>
      <c r="FE39" t="e">
        <f>#REF!</f>
        <v>#REF!</v>
      </c>
      <c r="FF39" t="e">
        <f>#REF!</f>
        <v>#REF!</v>
      </c>
      <c r="FG39" t="e">
        <f>#REF!</f>
        <v>#REF!</v>
      </c>
      <c r="FH39" t="e">
        <f>#REF!</f>
        <v>#REF!</v>
      </c>
      <c r="FI39" t="e">
        <f>#REF!</f>
        <v>#REF!</v>
      </c>
      <c r="FJ39" t="e">
        <f>#REF!</f>
        <v>#REF!</v>
      </c>
      <c r="FK39" t="e">
        <f>#REF!</f>
        <v>#REF!</v>
      </c>
      <c r="FL39" t="e">
        <f>#REF!</f>
        <v>#REF!</v>
      </c>
      <c r="FM39" t="e">
        <f>#REF!</f>
        <v>#REF!</v>
      </c>
      <c r="FN39" t="e">
        <f>#REF!</f>
        <v>#REF!</v>
      </c>
    </row>
    <row r="40" spans="1:170" ht="15" x14ac:dyDescent="0.25">
      <c r="A40" s="619">
        <v>1</v>
      </c>
      <c r="B40" s="133" t="e">
        <f>RIGHT(#REF!,LEN(#REF!)-(FIND("Standards",#REF!,1)+9))</f>
        <v>#REF!</v>
      </c>
      <c r="C40" s="620" t="e">
        <f>#REF!</f>
        <v>#REF!</v>
      </c>
      <c r="D40" s="620">
        <v>72695</v>
      </c>
      <c r="E40" s="621" t="e">
        <f>#REF!</f>
        <v>#REF!</v>
      </c>
      <c r="F40" s="621" t="e">
        <f>#REF!</f>
        <v>#REF!</v>
      </c>
      <c r="G40" s="619" t="e">
        <f>#REF!</f>
        <v>#REF!</v>
      </c>
      <c r="H40" s="619" t="e">
        <f>#REF!</f>
        <v>#REF!</v>
      </c>
      <c r="I40" s="621" t="e">
        <f>#REF!</f>
        <v>#REF!</v>
      </c>
      <c r="J40" s="619" t="e">
        <f>#REF!</f>
        <v>#REF!</v>
      </c>
      <c r="K40" s="621" t="e">
        <f>#REF!</f>
        <v>#REF!</v>
      </c>
      <c r="L40" s="622" t="e">
        <f>#REF!</f>
        <v>#REF!</v>
      </c>
      <c r="M40" s="622" t="e">
        <f>#REF!</f>
        <v>#REF!</v>
      </c>
      <c r="N40" t="e">
        <f>#REF!</f>
        <v>#REF!</v>
      </c>
      <c r="O40" t="e">
        <f>#REF!</f>
        <v>#REF!</v>
      </c>
      <c r="P40" t="e">
        <f>#REF!</f>
        <v>#REF!</v>
      </c>
      <c r="Q40" s="136" t="e">
        <f>#REF!</f>
        <v>#REF!</v>
      </c>
      <c r="R40" s="136" t="e">
        <f>#REF!</f>
        <v>#REF!</v>
      </c>
      <c r="S40" s="136" t="e">
        <f>#REF!</f>
        <v>#REF!</v>
      </c>
      <c r="T40" s="136" t="e">
        <f>#REF!</f>
        <v>#REF!</v>
      </c>
      <c r="U40" s="136" t="e">
        <f>#REF!</f>
        <v>#REF!</v>
      </c>
      <c r="V40" s="136" t="e">
        <f>#REF!</f>
        <v>#REF!</v>
      </c>
      <c r="W40" s="136" t="e">
        <f>#REF!</f>
        <v>#REF!</v>
      </c>
      <c r="X40" s="136" t="e">
        <f>#REF!</f>
        <v>#REF!</v>
      </c>
      <c r="Y40" s="136" t="e">
        <f>#REF!</f>
        <v>#REF!</v>
      </c>
      <c r="Z40" s="136" t="e">
        <f>#REF!</f>
        <v>#REF!</v>
      </c>
      <c r="AA40" s="136" t="e">
        <f>#REF!</f>
        <v>#REF!</v>
      </c>
      <c r="AB40" s="136" t="e">
        <f>#REF!</f>
        <v>#REF!</v>
      </c>
      <c r="AC40" s="136" t="e">
        <f>#REF!</f>
        <v>#REF!</v>
      </c>
      <c r="AD40" s="136" t="e">
        <f>#REF!</f>
        <v>#REF!</v>
      </c>
      <c r="AE40" s="136" t="e">
        <f>#REF!</f>
        <v>#REF!</v>
      </c>
      <c r="AF40" s="136" t="e">
        <f>#REF!</f>
        <v>#REF!</v>
      </c>
      <c r="AG40" s="136" t="e">
        <f>#REF!</f>
        <v>#REF!</v>
      </c>
      <c r="AH40" s="136" t="e">
        <f>#REF!</f>
        <v>#REF!</v>
      </c>
      <c r="AI40" s="136" t="e">
        <f>#REF!</f>
        <v>#REF!</v>
      </c>
      <c r="AJ40" s="136" t="e">
        <f>#REF!</f>
        <v>#REF!</v>
      </c>
      <c r="AK40" s="136" t="e">
        <f>#REF!</f>
        <v>#REF!</v>
      </c>
      <c r="AL40" s="136"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s="137" t="e">
        <f>#REF!</f>
        <v>#REF!</v>
      </c>
      <c r="BO40" s="137" t="e">
        <f>#REF!</f>
        <v>#REF!</v>
      </c>
      <c r="BP40" s="137" t="e">
        <f>#REF!</f>
        <v>#REF!</v>
      </c>
      <c r="BQ40" s="137" t="e">
        <f>#REF!</f>
        <v>#REF!</v>
      </c>
      <c r="BR40" s="137" t="e">
        <f>#REF!</f>
        <v>#REF!</v>
      </c>
      <c r="BS40" s="137" t="e">
        <f>#REF!</f>
        <v>#REF!</v>
      </c>
      <c r="BT40" s="137" t="e">
        <f>#REF!</f>
        <v>#REF!</v>
      </c>
      <c r="BU40" s="137" t="e">
        <f>#REF!</f>
        <v>#REF!</v>
      </c>
      <c r="BV40" s="137" t="e">
        <f>#REF!</f>
        <v>#REF!</v>
      </c>
      <c r="BW40" s="137" t="e">
        <f>#REF!</f>
        <v>#REF!</v>
      </c>
      <c r="BX40" s="137" t="e">
        <f>#REF!</f>
        <v>#REF!</v>
      </c>
      <c r="BY40" s="137" t="e">
        <f>#REF!</f>
        <v>#REF!</v>
      </c>
      <c r="BZ40" s="137" t="e">
        <f>#REF!</f>
        <v>#REF!</v>
      </c>
      <c r="CA40" s="137" t="e">
        <f>#REF!</f>
        <v>#REF!</v>
      </c>
      <c r="CB40" t="e">
        <f>#REF!</f>
        <v>#REF!</v>
      </c>
      <c r="CC40" t="e">
        <f>#REF!</f>
        <v>#REF!</v>
      </c>
      <c r="CD40" t="e">
        <f>#REF!</f>
        <v>#REF!</v>
      </c>
      <c r="CE40" t="e">
        <f>#REF!</f>
        <v>#REF!</v>
      </c>
      <c r="CF40" t="e">
        <f>#REF!</f>
        <v>#REF!</v>
      </c>
      <c r="CG40" t="e">
        <f>#REF!</f>
        <v>#REF!</v>
      </c>
      <c r="CH40" t="e">
        <f>#REF!</f>
        <v>#REF!</v>
      </c>
      <c r="CI40" t="e">
        <f>#REF!</f>
        <v>#REF!</v>
      </c>
      <c r="CJ40" s="136" t="e">
        <f>#REF!</f>
        <v>#REF!</v>
      </c>
      <c r="CK40" s="136" t="e">
        <f>#REF!</f>
        <v>#REF!</v>
      </c>
      <c r="CL40">
        <v>0</v>
      </c>
      <c r="CM40">
        <v>0</v>
      </c>
      <c r="CN40">
        <v>0</v>
      </c>
      <c r="CO40">
        <v>0</v>
      </c>
      <c r="CP40" t="e">
        <f>#REF!</f>
        <v>#REF!</v>
      </c>
      <c r="CQ40" t="e">
        <f>#REF!</f>
        <v>#REF!</v>
      </c>
      <c r="CR40" t="e">
        <f>#REF!</f>
        <v>#REF!</v>
      </c>
      <c r="CS40" t="e">
        <f>#REF!</f>
        <v>#REF!</v>
      </c>
      <c r="CT40" t="e">
        <f>#REF!</f>
        <v>#REF!</v>
      </c>
      <c r="CU40" t="e">
        <f>#REF!</f>
        <v>#REF!</v>
      </c>
      <c r="CV40" t="e">
        <f>#REF!</f>
        <v>#REF!</v>
      </c>
      <c r="CW40" t="e">
        <f>#REF!</f>
        <v>#REF!</v>
      </c>
      <c r="CX40" t="e">
        <f>#REF!</f>
        <v>#REF!</v>
      </c>
      <c r="CY40" t="e">
        <f>#REF!</f>
        <v>#REF!</v>
      </c>
      <c r="CZ40" t="e">
        <f>#REF!</f>
        <v>#REF!</v>
      </c>
      <c r="DA40" t="e">
        <f>#REF!</f>
        <v>#REF!</v>
      </c>
      <c r="DB40" t="e">
        <f>#REF!</f>
        <v>#REF!</v>
      </c>
      <c r="DC40" t="e">
        <f>#REF!</f>
        <v>#REF!</v>
      </c>
      <c r="DD40" t="e">
        <f>#REF!</f>
        <v>#REF!</v>
      </c>
      <c r="DE40" t="e">
        <f>#REF!</f>
        <v>#REF!</v>
      </c>
      <c r="DF40" t="e">
        <f>#REF!</f>
        <v>#REF!</v>
      </c>
      <c r="DG40" t="e">
        <f>#REF!</f>
        <v>#REF!</v>
      </c>
      <c r="DH40" t="e">
        <f>#REF!</f>
        <v>#REF!</v>
      </c>
      <c r="DI40" t="e">
        <f>#REF!</f>
        <v>#REF!</v>
      </c>
      <c r="DJ40" t="e">
        <f>#REF!</f>
        <v>#REF!</v>
      </c>
      <c r="DK40" t="e">
        <f>#REF!</f>
        <v>#REF!</v>
      </c>
      <c r="DL40" t="e">
        <f>#REF!</f>
        <v>#REF!</v>
      </c>
      <c r="DM40" t="e">
        <f>#REF!</f>
        <v>#REF!</v>
      </c>
      <c r="DN40" t="e">
        <f>#REF!</f>
        <v>#REF!</v>
      </c>
      <c r="DO40" t="e">
        <f>#REF!</f>
        <v>#REF!</v>
      </c>
      <c r="DP40" t="e">
        <f>#REF!</f>
        <v>#REF!</v>
      </c>
      <c r="DQ40" t="e">
        <f>#REF!</f>
        <v>#REF!</v>
      </c>
      <c r="DR40" t="e">
        <f>#REF!</f>
        <v>#REF!</v>
      </c>
      <c r="DS40" t="e">
        <f>#REF!</f>
        <v>#REF!</v>
      </c>
      <c r="DT40" t="e">
        <f>#REF!</f>
        <v>#REF!</v>
      </c>
      <c r="DU40" t="e">
        <f>#REF!</f>
        <v>#REF!</v>
      </c>
      <c r="DV40" t="e">
        <f>#REF!</f>
        <v>#REF!</v>
      </c>
      <c r="DW40" t="e">
        <f>#REF!</f>
        <v>#REF!</v>
      </c>
      <c r="DX40" t="e">
        <f>#REF!</f>
        <v>#REF!</v>
      </c>
      <c r="DY40" t="e">
        <f>#REF!</f>
        <v>#REF!</v>
      </c>
      <c r="DZ40" t="e">
        <f>#REF!</f>
        <v>#REF!</v>
      </c>
      <c r="EA40" t="e">
        <f>#REF!</f>
        <v>#REF!</v>
      </c>
      <c r="EB40" t="e">
        <f>#REF!</f>
        <v>#REF!</v>
      </c>
      <c r="EC40" t="e">
        <f>#REF!</f>
        <v>#REF!</v>
      </c>
      <c r="ED40" t="e">
        <f>#REF!</f>
        <v>#REF!</v>
      </c>
      <c r="EE40" t="e">
        <f>#REF!</f>
        <v>#REF!</v>
      </c>
      <c r="EF40" t="e">
        <f>#REF!</f>
        <v>#REF!</v>
      </c>
      <c r="EG40" t="e">
        <f>#REF!</f>
        <v>#REF!</v>
      </c>
      <c r="EH40" t="e">
        <f>#REF!</f>
        <v>#REF!</v>
      </c>
      <c r="EI40" t="e">
        <f>#REF!</f>
        <v>#REF!</v>
      </c>
      <c r="EJ40" t="e">
        <f>#REF!</f>
        <v>#REF!</v>
      </c>
      <c r="EK40" t="e">
        <f>#REF!</f>
        <v>#REF!</v>
      </c>
      <c r="EL40" t="e">
        <f>#REF!</f>
        <v>#REF!</v>
      </c>
      <c r="EM40" t="e">
        <f>#REF!</f>
        <v>#REF!</v>
      </c>
      <c r="EN40" t="e">
        <f>#REF!</f>
        <v>#REF!</v>
      </c>
      <c r="EO40" t="e">
        <f>#REF!</f>
        <v>#REF!</v>
      </c>
      <c r="EP40" t="e">
        <f>#REF!</f>
        <v>#REF!</v>
      </c>
      <c r="EQ40" t="e">
        <f>#REF!</f>
        <v>#REF!</v>
      </c>
      <c r="ER40" t="e">
        <f>#REF!</f>
        <v>#REF!</v>
      </c>
      <c r="ES40" t="e">
        <f>#REF!</f>
        <v>#REF!</v>
      </c>
      <c r="ET40" t="e">
        <f>#REF!</f>
        <v>#REF!</v>
      </c>
      <c r="EU40" t="e">
        <f>#REF!</f>
        <v>#REF!</v>
      </c>
      <c r="EV40" t="e">
        <f>#REF!</f>
        <v>#REF!</v>
      </c>
      <c r="EW40" t="e">
        <f>#REF!</f>
        <v>#REF!</v>
      </c>
      <c r="EX40" t="e">
        <f>#REF!</f>
        <v>#REF!</v>
      </c>
      <c r="EY40" t="e">
        <f>#REF!</f>
        <v>#REF!</v>
      </c>
      <c r="EZ40" t="e">
        <f>#REF!</f>
        <v>#REF!</v>
      </c>
      <c r="FA40" t="e">
        <f>#REF!</f>
        <v>#REF!</v>
      </c>
      <c r="FB40" t="e">
        <f>#REF!</f>
        <v>#REF!</v>
      </c>
      <c r="FC40" t="e">
        <f>#REF!</f>
        <v>#REF!</v>
      </c>
      <c r="FD40" t="e">
        <f>#REF!</f>
        <v>#REF!</v>
      </c>
      <c r="FE40" t="e">
        <f>#REF!</f>
        <v>#REF!</v>
      </c>
      <c r="FF40" t="e">
        <f>#REF!</f>
        <v>#REF!</v>
      </c>
      <c r="FG40" t="e">
        <f>#REF!</f>
        <v>#REF!</v>
      </c>
      <c r="FH40" t="e">
        <f>#REF!</f>
        <v>#REF!</v>
      </c>
      <c r="FI40" t="e">
        <f>#REF!</f>
        <v>#REF!</v>
      </c>
      <c r="FJ40" t="e">
        <f>#REF!</f>
        <v>#REF!</v>
      </c>
      <c r="FK40" t="e">
        <f>#REF!</f>
        <v>#REF!</v>
      </c>
      <c r="FL40" t="e">
        <f>#REF!</f>
        <v>#REF!</v>
      </c>
      <c r="FM40" t="e">
        <f>#REF!</f>
        <v>#REF!</v>
      </c>
      <c r="FN40" t="e">
        <f>#REF!</f>
        <v>#REF!</v>
      </c>
    </row>
    <row r="41" spans="1:170" ht="15" x14ac:dyDescent="0.25">
      <c r="A41" s="619">
        <v>1</v>
      </c>
      <c r="B41" s="133" t="e">
        <f>RIGHT(#REF!,LEN(#REF!)-(FIND("Standards",#REF!,1)+9))</f>
        <v>#REF!</v>
      </c>
      <c r="C41" s="620" t="e">
        <f>#REF!</f>
        <v>#REF!</v>
      </c>
      <c r="D41" s="620">
        <v>72696</v>
      </c>
      <c r="E41" s="621" t="e">
        <f>#REF!</f>
        <v>#REF!</v>
      </c>
      <c r="F41" s="621" t="e">
        <f>#REF!</f>
        <v>#REF!</v>
      </c>
      <c r="G41" s="619" t="e">
        <f>#REF!</f>
        <v>#REF!</v>
      </c>
      <c r="H41" s="619" t="e">
        <f>#REF!</f>
        <v>#REF!</v>
      </c>
      <c r="I41" s="621" t="e">
        <f>#REF!</f>
        <v>#REF!</v>
      </c>
      <c r="J41" s="619" t="e">
        <f>#REF!</f>
        <v>#REF!</v>
      </c>
      <c r="K41" s="621" t="e">
        <f>#REF!</f>
        <v>#REF!</v>
      </c>
      <c r="L41" s="622" t="e">
        <f>#REF!</f>
        <v>#REF!</v>
      </c>
      <c r="M41" s="622" t="e">
        <f>#REF!</f>
        <v>#REF!</v>
      </c>
      <c r="N41" t="e">
        <f>#REF!</f>
        <v>#REF!</v>
      </c>
      <c r="O41" t="e">
        <f>#REF!</f>
        <v>#REF!</v>
      </c>
      <c r="P41" t="e">
        <f>#REF!</f>
        <v>#REF!</v>
      </c>
      <c r="Q41" s="136" t="e">
        <f>#REF!</f>
        <v>#REF!</v>
      </c>
      <c r="R41" s="136" t="e">
        <f>#REF!</f>
        <v>#REF!</v>
      </c>
      <c r="S41" s="136" t="e">
        <f>#REF!</f>
        <v>#REF!</v>
      </c>
      <c r="T41" s="136" t="e">
        <f>#REF!</f>
        <v>#REF!</v>
      </c>
      <c r="U41" s="136" t="e">
        <f>#REF!</f>
        <v>#REF!</v>
      </c>
      <c r="V41" s="136" t="e">
        <f>#REF!</f>
        <v>#REF!</v>
      </c>
      <c r="W41" s="136" t="e">
        <f>#REF!</f>
        <v>#REF!</v>
      </c>
      <c r="X41" s="136" t="e">
        <f>#REF!</f>
        <v>#REF!</v>
      </c>
      <c r="Y41" s="136" t="e">
        <f>#REF!</f>
        <v>#REF!</v>
      </c>
      <c r="Z41" s="136" t="e">
        <f>#REF!</f>
        <v>#REF!</v>
      </c>
      <c r="AA41" s="136" t="e">
        <f>#REF!</f>
        <v>#REF!</v>
      </c>
      <c r="AB41" s="136" t="e">
        <f>#REF!</f>
        <v>#REF!</v>
      </c>
      <c r="AC41" s="136" t="e">
        <f>#REF!</f>
        <v>#REF!</v>
      </c>
      <c r="AD41" s="136" t="e">
        <f>#REF!</f>
        <v>#REF!</v>
      </c>
      <c r="AE41" s="136" t="e">
        <f>#REF!</f>
        <v>#REF!</v>
      </c>
      <c r="AF41" s="136" t="e">
        <f>#REF!</f>
        <v>#REF!</v>
      </c>
      <c r="AG41" s="136" t="e">
        <f>#REF!</f>
        <v>#REF!</v>
      </c>
      <c r="AH41" s="136" t="e">
        <f>#REF!</f>
        <v>#REF!</v>
      </c>
      <c r="AI41" s="136" t="e">
        <f>#REF!</f>
        <v>#REF!</v>
      </c>
      <c r="AJ41" s="136" t="e">
        <f>#REF!</f>
        <v>#REF!</v>
      </c>
      <c r="AK41" s="136" t="e">
        <f>#REF!</f>
        <v>#REF!</v>
      </c>
      <c r="AL41" s="136"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s="137" t="e">
        <f>#REF!</f>
        <v>#REF!</v>
      </c>
      <c r="BO41" s="137" t="e">
        <f>#REF!</f>
        <v>#REF!</v>
      </c>
      <c r="BP41" s="137" t="e">
        <f>#REF!</f>
        <v>#REF!</v>
      </c>
      <c r="BQ41" s="137" t="e">
        <f>#REF!</f>
        <v>#REF!</v>
      </c>
      <c r="BR41" s="137" t="e">
        <f>#REF!</f>
        <v>#REF!</v>
      </c>
      <c r="BS41" s="137" t="e">
        <f>#REF!</f>
        <v>#REF!</v>
      </c>
      <c r="BT41" s="137" t="e">
        <f>#REF!</f>
        <v>#REF!</v>
      </c>
      <c r="BU41" s="137" t="e">
        <f>#REF!</f>
        <v>#REF!</v>
      </c>
      <c r="BV41" s="137" t="e">
        <f>#REF!</f>
        <v>#REF!</v>
      </c>
      <c r="BW41" s="137" t="e">
        <f>#REF!</f>
        <v>#REF!</v>
      </c>
      <c r="BX41" s="137" t="e">
        <f>#REF!</f>
        <v>#REF!</v>
      </c>
      <c r="BY41" s="137" t="e">
        <f>#REF!</f>
        <v>#REF!</v>
      </c>
      <c r="BZ41" s="137" t="e">
        <f>#REF!</f>
        <v>#REF!</v>
      </c>
      <c r="CA41" s="137" t="e">
        <f>#REF!</f>
        <v>#REF!</v>
      </c>
      <c r="CB41" t="e">
        <f>#REF!</f>
        <v>#REF!</v>
      </c>
      <c r="CC41" t="e">
        <f>#REF!</f>
        <v>#REF!</v>
      </c>
      <c r="CD41" t="e">
        <f>#REF!</f>
        <v>#REF!</v>
      </c>
      <c r="CE41" t="e">
        <f>#REF!</f>
        <v>#REF!</v>
      </c>
      <c r="CF41" t="e">
        <f>#REF!</f>
        <v>#REF!</v>
      </c>
      <c r="CG41" t="e">
        <f>#REF!</f>
        <v>#REF!</v>
      </c>
      <c r="CH41" t="e">
        <f>#REF!</f>
        <v>#REF!</v>
      </c>
      <c r="CI41" t="e">
        <f>#REF!</f>
        <v>#REF!</v>
      </c>
      <c r="CJ41" s="136" t="e">
        <f>#REF!</f>
        <v>#REF!</v>
      </c>
      <c r="CK41" s="136" t="e">
        <f>#REF!</f>
        <v>#REF!</v>
      </c>
      <c r="CL41">
        <v>0</v>
      </c>
      <c r="CM41">
        <v>0</v>
      </c>
      <c r="CN41">
        <v>0</v>
      </c>
      <c r="CO41">
        <v>0</v>
      </c>
      <c r="CP41" t="e">
        <f>#REF!</f>
        <v>#REF!</v>
      </c>
      <c r="CQ41" t="e">
        <f>#REF!</f>
        <v>#REF!</v>
      </c>
      <c r="CR41" t="e">
        <f>#REF!</f>
        <v>#REF!</v>
      </c>
      <c r="CS41" t="e">
        <f>#REF!</f>
        <v>#REF!</v>
      </c>
      <c r="CT41" t="e">
        <f>#REF!</f>
        <v>#REF!</v>
      </c>
      <c r="CU41" t="e">
        <f>#REF!</f>
        <v>#REF!</v>
      </c>
      <c r="CV41" t="e">
        <f>#REF!</f>
        <v>#REF!</v>
      </c>
      <c r="CW41" t="e">
        <f>#REF!</f>
        <v>#REF!</v>
      </c>
      <c r="CX41" t="e">
        <f>#REF!</f>
        <v>#REF!</v>
      </c>
      <c r="CY41" t="e">
        <f>#REF!</f>
        <v>#REF!</v>
      </c>
      <c r="CZ41" t="e">
        <f>#REF!</f>
        <v>#REF!</v>
      </c>
      <c r="DA41" t="e">
        <f>#REF!</f>
        <v>#REF!</v>
      </c>
      <c r="DB41" t="e">
        <f>#REF!</f>
        <v>#REF!</v>
      </c>
      <c r="DC41" t="e">
        <f>#REF!</f>
        <v>#REF!</v>
      </c>
      <c r="DD41" t="e">
        <f>#REF!</f>
        <v>#REF!</v>
      </c>
      <c r="DE41" t="e">
        <f>#REF!</f>
        <v>#REF!</v>
      </c>
      <c r="DF41" t="e">
        <f>#REF!</f>
        <v>#REF!</v>
      </c>
      <c r="DG41" t="e">
        <f>#REF!</f>
        <v>#REF!</v>
      </c>
      <c r="DH41" t="e">
        <f>#REF!</f>
        <v>#REF!</v>
      </c>
      <c r="DI41" t="e">
        <f>#REF!</f>
        <v>#REF!</v>
      </c>
      <c r="DJ41" t="e">
        <f>#REF!</f>
        <v>#REF!</v>
      </c>
      <c r="DK41" t="e">
        <f>#REF!</f>
        <v>#REF!</v>
      </c>
      <c r="DL41" t="e">
        <f>#REF!</f>
        <v>#REF!</v>
      </c>
      <c r="DM41" t="e">
        <f>#REF!</f>
        <v>#REF!</v>
      </c>
      <c r="DN41" t="e">
        <f>#REF!</f>
        <v>#REF!</v>
      </c>
      <c r="DO41" t="e">
        <f>#REF!</f>
        <v>#REF!</v>
      </c>
      <c r="DP41" t="e">
        <f>#REF!</f>
        <v>#REF!</v>
      </c>
      <c r="DQ41" t="e">
        <f>#REF!</f>
        <v>#REF!</v>
      </c>
      <c r="DR41" t="e">
        <f>#REF!</f>
        <v>#REF!</v>
      </c>
      <c r="DS41" t="e">
        <f>#REF!</f>
        <v>#REF!</v>
      </c>
      <c r="DT41" t="e">
        <f>#REF!</f>
        <v>#REF!</v>
      </c>
      <c r="DU41" t="e">
        <f>#REF!</f>
        <v>#REF!</v>
      </c>
      <c r="DV41" t="e">
        <f>#REF!</f>
        <v>#REF!</v>
      </c>
      <c r="DW41" t="e">
        <f>#REF!</f>
        <v>#REF!</v>
      </c>
      <c r="DX41" t="e">
        <f>#REF!</f>
        <v>#REF!</v>
      </c>
      <c r="DY41" t="e">
        <f>#REF!</f>
        <v>#REF!</v>
      </c>
      <c r="DZ41" t="e">
        <f>#REF!</f>
        <v>#REF!</v>
      </c>
      <c r="EA41" t="e">
        <f>#REF!</f>
        <v>#REF!</v>
      </c>
      <c r="EB41" t="e">
        <f>#REF!</f>
        <v>#REF!</v>
      </c>
      <c r="EC41" t="e">
        <f>#REF!</f>
        <v>#REF!</v>
      </c>
      <c r="ED41" t="e">
        <f>#REF!</f>
        <v>#REF!</v>
      </c>
      <c r="EE41" t="e">
        <f>#REF!</f>
        <v>#REF!</v>
      </c>
      <c r="EF41" t="e">
        <f>#REF!</f>
        <v>#REF!</v>
      </c>
      <c r="EG41" t="e">
        <f>#REF!</f>
        <v>#REF!</v>
      </c>
      <c r="EH41" t="e">
        <f>#REF!</f>
        <v>#REF!</v>
      </c>
      <c r="EI41" t="e">
        <f>#REF!</f>
        <v>#REF!</v>
      </c>
      <c r="EJ41" t="e">
        <f>#REF!</f>
        <v>#REF!</v>
      </c>
      <c r="EK41" t="e">
        <f>#REF!</f>
        <v>#REF!</v>
      </c>
      <c r="EL41" t="e">
        <f>#REF!</f>
        <v>#REF!</v>
      </c>
      <c r="EM41" t="e">
        <f>#REF!</f>
        <v>#REF!</v>
      </c>
      <c r="EN41" t="e">
        <f>#REF!</f>
        <v>#REF!</v>
      </c>
      <c r="EO41" t="e">
        <f>#REF!</f>
        <v>#REF!</v>
      </c>
      <c r="EP41" t="e">
        <f>#REF!</f>
        <v>#REF!</v>
      </c>
      <c r="EQ41" t="e">
        <f>#REF!</f>
        <v>#REF!</v>
      </c>
      <c r="ER41" t="e">
        <f>#REF!</f>
        <v>#REF!</v>
      </c>
      <c r="ES41" t="e">
        <f>#REF!</f>
        <v>#REF!</v>
      </c>
      <c r="ET41" t="e">
        <f>#REF!</f>
        <v>#REF!</v>
      </c>
      <c r="EU41" t="e">
        <f>#REF!</f>
        <v>#REF!</v>
      </c>
      <c r="EV41" t="e">
        <f>#REF!</f>
        <v>#REF!</v>
      </c>
      <c r="EW41" t="e">
        <f>#REF!</f>
        <v>#REF!</v>
      </c>
      <c r="EX41" t="e">
        <f>#REF!</f>
        <v>#REF!</v>
      </c>
      <c r="EY41" t="e">
        <f>#REF!</f>
        <v>#REF!</v>
      </c>
      <c r="EZ41" t="e">
        <f>#REF!</f>
        <v>#REF!</v>
      </c>
      <c r="FA41" t="e">
        <f>#REF!</f>
        <v>#REF!</v>
      </c>
      <c r="FB41" t="e">
        <f>#REF!</f>
        <v>#REF!</v>
      </c>
      <c r="FC41" t="e">
        <f>#REF!</f>
        <v>#REF!</v>
      </c>
      <c r="FD41" t="e">
        <f>#REF!</f>
        <v>#REF!</v>
      </c>
      <c r="FE41" t="e">
        <f>#REF!</f>
        <v>#REF!</v>
      </c>
      <c r="FF41" t="e">
        <f>#REF!</f>
        <v>#REF!</v>
      </c>
      <c r="FG41" t="e">
        <f>#REF!</f>
        <v>#REF!</v>
      </c>
      <c r="FH41" t="e">
        <f>#REF!</f>
        <v>#REF!</v>
      </c>
      <c r="FI41" t="e">
        <f>#REF!</f>
        <v>#REF!</v>
      </c>
      <c r="FJ41" t="e">
        <f>#REF!</f>
        <v>#REF!</v>
      </c>
      <c r="FK41" t="e">
        <f>#REF!</f>
        <v>#REF!</v>
      </c>
      <c r="FL41" t="e">
        <f>#REF!</f>
        <v>#REF!</v>
      </c>
      <c r="FM41" t="e">
        <f>#REF!</f>
        <v>#REF!</v>
      </c>
      <c r="FN41" t="e">
        <f>#REF!</f>
        <v>#REF!</v>
      </c>
    </row>
    <row r="42" spans="1:170" ht="15" x14ac:dyDescent="0.25">
      <c r="A42" s="619">
        <v>1</v>
      </c>
      <c r="B42" s="133" t="e">
        <f>RIGHT(#REF!,LEN(#REF!)-(FIND("Standards",#REF!,1)+9))</f>
        <v>#REF!</v>
      </c>
      <c r="C42" s="620" t="e">
        <f>#REF!</f>
        <v>#REF!</v>
      </c>
      <c r="D42" s="620">
        <v>72697</v>
      </c>
      <c r="E42" s="621" t="e">
        <f>#REF!</f>
        <v>#REF!</v>
      </c>
      <c r="F42" s="621" t="e">
        <f>#REF!</f>
        <v>#REF!</v>
      </c>
      <c r="G42" s="619" t="e">
        <f>#REF!</f>
        <v>#REF!</v>
      </c>
      <c r="H42" s="619" t="e">
        <f>#REF!</f>
        <v>#REF!</v>
      </c>
      <c r="I42" s="621" t="e">
        <f>#REF!</f>
        <v>#REF!</v>
      </c>
      <c r="J42" s="619" t="e">
        <f>#REF!</f>
        <v>#REF!</v>
      </c>
      <c r="K42" s="621" t="e">
        <f>#REF!</f>
        <v>#REF!</v>
      </c>
      <c r="L42" s="622" t="e">
        <f>#REF!</f>
        <v>#REF!</v>
      </c>
      <c r="M42" s="622" t="e">
        <f>#REF!</f>
        <v>#REF!</v>
      </c>
      <c r="N42" t="e">
        <f>#REF!</f>
        <v>#REF!</v>
      </c>
      <c r="O42" t="e">
        <f>#REF!</f>
        <v>#REF!</v>
      </c>
      <c r="P42" t="e">
        <f>#REF!</f>
        <v>#REF!</v>
      </c>
      <c r="Q42" s="136" t="e">
        <f>#REF!</f>
        <v>#REF!</v>
      </c>
      <c r="R42" s="136" t="e">
        <f>#REF!</f>
        <v>#REF!</v>
      </c>
      <c r="S42" s="136" t="e">
        <f>#REF!</f>
        <v>#REF!</v>
      </c>
      <c r="T42" s="136" t="e">
        <f>#REF!</f>
        <v>#REF!</v>
      </c>
      <c r="U42" s="136" t="e">
        <f>#REF!</f>
        <v>#REF!</v>
      </c>
      <c r="V42" s="136" t="e">
        <f>#REF!</f>
        <v>#REF!</v>
      </c>
      <c r="W42" s="136" t="e">
        <f>#REF!</f>
        <v>#REF!</v>
      </c>
      <c r="X42" s="136" t="e">
        <f>#REF!</f>
        <v>#REF!</v>
      </c>
      <c r="Y42" s="136" t="e">
        <f>#REF!</f>
        <v>#REF!</v>
      </c>
      <c r="Z42" s="136" t="e">
        <f>#REF!</f>
        <v>#REF!</v>
      </c>
      <c r="AA42" s="136" t="e">
        <f>#REF!</f>
        <v>#REF!</v>
      </c>
      <c r="AB42" s="136" t="e">
        <f>#REF!</f>
        <v>#REF!</v>
      </c>
      <c r="AC42" s="136" t="e">
        <f>#REF!</f>
        <v>#REF!</v>
      </c>
      <c r="AD42" s="136" t="e">
        <f>#REF!</f>
        <v>#REF!</v>
      </c>
      <c r="AE42" s="136" t="e">
        <f>#REF!</f>
        <v>#REF!</v>
      </c>
      <c r="AF42" s="136" t="e">
        <f>#REF!</f>
        <v>#REF!</v>
      </c>
      <c r="AG42" s="136" t="e">
        <f>#REF!</f>
        <v>#REF!</v>
      </c>
      <c r="AH42" s="136" t="e">
        <f>#REF!</f>
        <v>#REF!</v>
      </c>
      <c r="AI42" s="136" t="e">
        <f>#REF!</f>
        <v>#REF!</v>
      </c>
      <c r="AJ42" s="136" t="e">
        <f>#REF!</f>
        <v>#REF!</v>
      </c>
      <c r="AK42" s="136" t="e">
        <f>#REF!</f>
        <v>#REF!</v>
      </c>
      <c r="AL42" s="136"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s="137" t="e">
        <f>#REF!</f>
        <v>#REF!</v>
      </c>
      <c r="BO42" s="137" t="e">
        <f>#REF!</f>
        <v>#REF!</v>
      </c>
      <c r="BP42" s="137" t="e">
        <f>#REF!</f>
        <v>#REF!</v>
      </c>
      <c r="BQ42" s="137" t="e">
        <f>#REF!</f>
        <v>#REF!</v>
      </c>
      <c r="BR42" s="137" t="e">
        <f>#REF!</f>
        <v>#REF!</v>
      </c>
      <c r="BS42" s="137" t="e">
        <f>#REF!</f>
        <v>#REF!</v>
      </c>
      <c r="BT42" s="137" t="e">
        <f>#REF!</f>
        <v>#REF!</v>
      </c>
      <c r="BU42" s="137" t="e">
        <f>#REF!</f>
        <v>#REF!</v>
      </c>
      <c r="BV42" s="137" t="e">
        <f>#REF!</f>
        <v>#REF!</v>
      </c>
      <c r="BW42" s="137" t="e">
        <f>#REF!</f>
        <v>#REF!</v>
      </c>
      <c r="BX42" s="137" t="e">
        <f>#REF!</f>
        <v>#REF!</v>
      </c>
      <c r="BY42" s="137" t="e">
        <f>#REF!</f>
        <v>#REF!</v>
      </c>
      <c r="BZ42" s="137" t="e">
        <f>#REF!</f>
        <v>#REF!</v>
      </c>
      <c r="CA42" s="137" t="e">
        <f>#REF!</f>
        <v>#REF!</v>
      </c>
      <c r="CB42" t="e">
        <f>#REF!</f>
        <v>#REF!</v>
      </c>
      <c r="CC42" t="e">
        <f>#REF!</f>
        <v>#REF!</v>
      </c>
      <c r="CD42" t="e">
        <f>#REF!</f>
        <v>#REF!</v>
      </c>
      <c r="CE42" t="e">
        <f>#REF!</f>
        <v>#REF!</v>
      </c>
      <c r="CF42" t="e">
        <f>#REF!</f>
        <v>#REF!</v>
      </c>
      <c r="CG42" t="e">
        <f>#REF!</f>
        <v>#REF!</v>
      </c>
      <c r="CH42" t="e">
        <f>#REF!</f>
        <v>#REF!</v>
      </c>
      <c r="CI42" t="e">
        <f>#REF!</f>
        <v>#REF!</v>
      </c>
      <c r="CJ42" s="136" t="e">
        <f>#REF!</f>
        <v>#REF!</v>
      </c>
      <c r="CK42" s="136" t="e">
        <f>#REF!</f>
        <v>#REF!</v>
      </c>
      <c r="CL42">
        <v>0</v>
      </c>
      <c r="CM42">
        <v>0</v>
      </c>
      <c r="CN42">
        <v>0</v>
      </c>
      <c r="CO42">
        <v>0</v>
      </c>
      <c r="CP42" t="e">
        <f>#REF!</f>
        <v>#REF!</v>
      </c>
      <c r="CQ42" t="e">
        <f>#REF!</f>
        <v>#REF!</v>
      </c>
      <c r="CR42" t="e">
        <f>#REF!</f>
        <v>#REF!</v>
      </c>
      <c r="CS42" t="e">
        <f>#REF!</f>
        <v>#REF!</v>
      </c>
      <c r="CT42" t="e">
        <f>#REF!</f>
        <v>#REF!</v>
      </c>
      <c r="CU42" t="e">
        <f>#REF!</f>
        <v>#REF!</v>
      </c>
      <c r="CV42" t="e">
        <f>#REF!</f>
        <v>#REF!</v>
      </c>
      <c r="CW42" t="e">
        <f>#REF!</f>
        <v>#REF!</v>
      </c>
      <c r="CX42" t="e">
        <f>#REF!</f>
        <v>#REF!</v>
      </c>
      <c r="CY42" t="e">
        <f>#REF!</f>
        <v>#REF!</v>
      </c>
      <c r="CZ42" t="e">
        <f>#REF!</f>
        <v>#REF!</v>
      </c>
      <c r="DA42" t="e">
        <f>#REF!</f>
        <v>#REF!</v>
      </c>
      <c r="DB42" t="e">
        <f>#REF!</f>
        <v>#REF!</v>
      </c>
      <c r="DC42" t="e">
        <f>#REF!</f>
        <v>#REF!</v>
      </c>
      <c r="DD42" t="e">
        <f>#REF!</f>
        <v>#REF!</v>
      </c>
      <c r="DE42" t="e">
        <f>#REF!</f>
        <v>#REF!</v>
      </c>
      <c r="DF42" t="e">
        <f>#REF!</f>
        <v>#REF!</v>
      </c>
      <c r="DG42" t="e">
        <f>#REF!</f>
        <v>#REF!</v>
      </c>
      <c r="DH42" t="e">
        <f>#REF!</f>
        <v>#REF!</v>
      </c>
      <c r="DI42" t="e">
        <f>#REF!</f>
        <v>#REF!</v>
      </c>
      <c r="DJ42" t="e">
        <f>#REF!</f>
        <v>#REF!</v>
      </c>
      <c r="DK42" t="e">
        <f>#REF!</f>
        <v>#REF!</v>
      </c>
      <c r="DL42" t="e">
        <f>#REF!</f>
        <v>#REF!</v>
      </c>
      <c r="DM42" t="e">
        <f>#REF!</f>
        <v>#REF!</v>
      </c>
      <c r="DN42" t="e">
        <f>#REF!</f>
        <v>#REF!</v>
      </c>
      <c r="DO42" t="e">
        <f>#REF!</f>
        <v>#REF!</v>
      </c>
      <c r="DP42" t="e">
        <f>#REF!</f>
        <v>#REF!</v>
      </c>
      <c r="DQ42" t="e">
        <f>#REF!</f>
        <v>#REF!</v>
      </c>
      <c r="DR42" t="e">
        <f>#REF!</f>
        <v>#REF!</v>
      </c>
      <c r="DS42" t="e">
        <f>#REF!</f>
        <v>#REF!</v>
      </c>
      <c r="DT42" t="e">
        <f>#REF!</f>
        <v>#REF!</v>
      </c>
      <c r="DU42" t="e">
        <f>#REF!</f>
        <v>#REF!</v>
      </c>
      <c r="DV42" t="e">
        <f>#REF!</f>
        <v>#REF!</v>
      </c>
      <c r="DW42" t="e">
        <f>#REF!</f>
        <v>#REF!</v>
      </c>
      <c r="DX42" t="e">
        <f>#REF!</f>
        <v>#REF!</v>
      </c>
      <c r="DY42" t="e">
        <f>#REF!</f>
        <v>#REF!</v>
      </c>
      <c r="DZ42" t="e">
        <f>#REF!</f>
        <v>#REF!</v>
      </c>
      <c r="EA42" t="e">
        <f>#REF!</f>
        <v>#REF!</v>
      </c>
      <c r="EB42" t="e">
        <f>#REF!</f>
        <v>#REF!</v>
      </c>
      <c r="EC42" t="e">
        <f>#REF!</f>
        <v>#REF!</v>
      </c>
      <c r="ED42" t="e">
        <f>#REF!</f>
        <v>#REF!</v>
      </c>
      <c r="EE42" t="e">
        <f>#REF!</f>
        <v>#REF!</v>
      </c>
      <c r="EF42" t="e">
        <f>#REF!</f>
        <v>#REF!</v>
      </c>
      <c r="EG42" t="e">
        <f>#REF!</f>
        <v>#REF!</v>
      </c>
      <c r="EH42" t="e">
        <f>#REF!</f>
        <v>#REF!</v>
      </c>
      <c r="EI42" t="e">
        <f>#REF!</f>
        <v>#REF!</v>
      </c>
      <c r="EJ42" t="e">
        <f>#REF!</f>
        <v>#REF!</v>
      </c>
      <c r="EK42" t="e">
        <f>#REF!</f>
        <v>#REF!</v>
      </c>
      <c r="EL42" t="e">
        <f>#REF!</f>
        <v>#REF!</v>
      </c>
      <c r="EM42" t="e">
        <f>#REF!</f>
        <v>#REF!</v>
      </c>
      <c r="EN42" t="e">
        <f>#REF!</f>
        <v>#REF!</v>
      </c>
      <c r="EO42" t="e">
        <f>#REF!</f>
        <v>#REF!</v>
      </c>
      <c r="EP42" t="e">
        <f>#REF!</f>
        <v>#REF!</v>
      </c>
      <c r="EQ42" t="e">
        <f>#REF!</f>
        <v>#REF!</v>
      </c>
      <c r="ER42" t="e">
        <f>#REF!</f>
        <v>#REF!</v>
      </c>
      <c r="ES42" t="e">
        <f>#REF!</f>
        <v>#REF!</v>
      </c>
      <c r="ET42" t="e">
        <f>#REF!</f>
        <v>#REF!</v>
      </c>
      <c r="EU42" t="e">
        <f>#REF!</f>
        <v>#REF!</v>
      </c>
      <c r="EV42" t="e">
        <f>#REF!</f>
        <v>#REF!</v>
      </c>
      <c r="EW42" t="e">
        <f>#REF!</f>
        <v>#REF!</v>
      </c>
      <c r="EX42" t="e">
        <f>#REF!</f>
        <v>#REF!</v>
      </c>
      <c r="EY42" t="e">
        <f>#REF!</f>
        <v>#REF!</v>
      </c>
      <c r="EZ42" t="e">
        <f>#REF!</f>
        <v>#REF!</v>
      </c>
      <c r="FA42" t="e">
        <f>#REF!</f>
        <v>#REF!</v>
      </c>
      <c r="FB42" t="e">
        <f>#REF!</f>
        <v>#REF!</v>
      </c>
      <c r="FC42" t="e">
        <f>#REF!</f>
        <v>#REF!</v>
      </c>
      <c r="FD42" t="e">
        <f>#REF!</f>
        <v>#REF!</v>
      </c>
      <c r="FE42" t="e">
        <f>#REF!</f>
        <v>#REF!</v>
      </c>
      <c r="FF42" t="e">
        <f>#REF!</f>
        <v>#REF!</v>
      </c>
      <c r="FG42" t="e">
        <f>#REF!</f>
        <v>#REF!</v>
      </c>
      <c r="FH42" t="e">
        <f>#REF!</f>
        <v>#REF!</v>
      </c>
      <c r="FI42" t="e">
        <f>#REF!</f>
        <v>#REF!</v>
      </c>
      <c r="FJ42" t="e">
        <f>#REF!</f>
        <v>#REF!</v>
      </c>
      <c r="FK42" t="e">
        <f>#REF!</f>
        <v>#REF!</v>
      </c>
      <c r="FL42" t="e">
        <f>#REF!</f>
        <v>#REF!</v>
      </c>
      <c r="FM42" t="e">
        <f>#REF!</f>
        <v>#REF!</v>
      </c>
      <c r="FN42" t="e">
        <f>#REF!</f>
        <v>#REF!</v>
      </c>
    </row>
    <row r="43" spans="1:170" ht="15" x14ac:dyDescent="0.25">
      <c r="A43" s="619">
        <v>1</v>
      </c>
      <c r="B43" s="133" t="e">
        <f>RIGHT(#REF!,LEN(#REF!)-(FIND("Standards",#REF!,1)+9))</f>
        <v>#REF!</v>
      </c>
      <c r="C43" s="620" t="e">
        <f>#REF!</f>
        <v>#REF!</v>
      </c>
      <c r="D43" s="620">
        <v>72698</v>
      </c>
      <c r="E43" s="621" t="e">
        <f>#REF!</f>
        <v>#REF!</v>
      </c>
      <c r="F43" s="621" t="e">
        <f>#REF!</f>
        <v>#REF!</v>
      </c>
      <c r="G43" s="619" t="e">
        <f>#REF!</f>
        <v>#REF!</v>
      </c>
      <c r="H43" s="619" t="e">
        <f>#REF!</f>
        <v>#REF!</v>
      </c>
      <c r="I43" s="621" t="e">
        <f>#REF!</f>
        <v>#REF!</v>
      </c>
      <c r="J43" s="619" t="e">
        <f>#REF!</f>
        <v>#REF!</v>
      </c>
      <c r="K43" s="621" t="e">
        <f>#REF!</f>
        <v>#REF!</v>
      </c>
      <c r="L43" s="622" t="e">
        <f>#REF!</f>
        <v>#REF!</v>
      </c>
      <c r="M43" s="622" t="e">
        <f>#REF!</f>
        <v>#REF!</v>
      </c>
      <c r="N43" t="e">
        <f>#REF!</f>
        <v>#REF!</v>
      </c>
      <c r="O43" t="e">
        <f>#REF!</f>
        <v>#REF!</v>
      </c>
      <c r="P43" t="e">
        <f>#REF!</f>
        <v>#REF!</v>
      </c>
      <c r="Q43" s="136" t="e">
        <f>#REF!</f>
        <v>#REF!</v>
      </c>
      <c r="R43" s="136" t="e">
        <f>#REF!</f>
        <v>#REF!</v>
      </c>
      <c r="S43" s="136" t="e">
        <f>#REF!</f>
        <v>#REF!</v>
      </c>
      <c r="T43" s="136" t="e">
        <f>#REF!</f>
        <v>#REF!</v>
      </c>
      <c r="U43" s="136" t="e">
        <f>#REF!</f>
        <v>#REF!</v>
      </c>
      <c r="V43" s="136" t="e">
        <f>#REF!</f>
        <v>#REF!</v>
      </c>
      <c r="W43" s="136" t="e">
        <f>#REF!</f>
        <v>#REF!</v>
      </c>
      <c r="X43" s="136" t="e">
        <f>#REF!</f>
        <v>#REF!</v>
      </c>
      <c r="Y43" s="136" t="e">
        <f>#REF!</f>
        <v>#REF!</v>
      </c>
      <c r="Z43" s="136" t="e">
        <f>#REF!</f>
        <v>#REF!</v>
      </c>
      <c r="AA43" s="136" t="e">
        <f>#REF!</f>
        <v>#REF!</v>
      </c>
      <c r="AB43" s="136" t="e">
        <f>#REF!</f>
        <v>#REF!</v>
      </c>
      <c r="AC43" s="136" t="e">
        <f>#REF!</f>
        <v>#REF!</v>
      </c>
      <c r="AD43" s="136" t="e">
        <f>#REF!</f>
        <v>#REF!</v>
      </c>
      <c r="AE43" s="136" t="e">
        <f>#REF!</f>
        <v>#REF!</v>
      </c>
      <c r="AF43" s="136" t="e">
        <f>#REF!</f>
        <v>#REF!</v>
      </c>
      <c r="AG43" s="136" t="e">
        <f>#REF!</f>
        <v>#REF!</v>
      </c>
      <c r="AH43" s="136" t="e">
        <f>#REF!</f>
        <v>#REF!</v>
      </c>
      <c r="AI43" s="136" t="e">
        <f>#REF!</f>
        <v>#REF!</v>
      </c>
      <c r="AJ43" s="136" t="e">
        <f>#REF!</f>
        <v>#REF!</v>
      </c>
      <c r="AK43" s="136" t="e">
        <f>#REF!</f>
        <v>#REF!</v>
      </c>
      <c r="AL43" s="136"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s="137" t="e">
        <f>#REF!</f>
        <v>#REF!</v>
      </c>
      <c r="BO43" s="137" t="e">
        <f>#REF!</f>
        <v>#REF!</v>
      </c>
      <c r="BP43" s="137" t="e">
        <f>#REF!</f>
        <v>#REF!</v>
      </c>
      <c r="BQ43" s="137" t="e">
        <f>#REF!</f>
        <v>#REF!</v>
      </c>
      <c r="BR43" s="137" t="e">
        <f>#REF!</f>
        <v>#REF!</v>
      </c>
      <c r="BS43" s="137" t="e">
        <f>#REF!</f>
        <v>#REF!</v>
      </c>
      <c r="BT43" s="137" t="e">
        <f>#REF!</f>
        <v>#REF!</v>
      </c>
      <c r="BU43" s="137" t="e">
        <f>#REF!</f>
        <v>#REF!</v>
      </c>
      <c r="BV43" s="137" t="e">
        <f>#REF!</f>
        <v>#REF!</v>
      </c>
      <c r="BW43" s="137" t="e">
        <f>#REF!</f>
        <v>#REF!</v>
      </c>
      <c r="BX43" s="137" t="e">
        <f>#REF!</f>
        <v>#REF!</v>
      </c>
      <c r="BY43" s="137" t="e">
        <f>#REF!</f>
        <v>#REF!</v>
      </c>
      <c r="BZ43" s="137" t="e">
        <f>#REF!</f>
        <v>#REF!</v>
      </c>
      <c r="CA43" s="137" t="e">
        <f>#REF!</f>
        <v>#REF!</v>
      </c>
      <c r="CB43" t="e">
        <f>#REF!</f>
        <v>#REF!</v>
      </c>
      <c r="CC43" t="e">
        <f>#REF!</f>
        <v>#REF!</v>
      </c>
      <c r="CD43" t="e">
        <f>#REF!</f>
        <v>#REF!</v>
      </c>
      <c r="CE43" t="e">
        <f>#REF!</f>
        <v>#REF!</v>
      </c>
      <c r="CF43" t="e">
        <f>#REF!</f>
        <v>#REF!</v>
      </c>
      <c r="CG43" t="e">
        <f>#REF!</f>
        <v>#REF!</v>
      </c>
      <c r="CH43" t="e">
        <f>#REF!</f>
        <v>#REF!</v>
      </c>
      <c r="CI43" t="e">
        <f>#REF!</f>
        <v>#REF!</v>
      </c>
      <c r="CJ43" s="136" t="e">
        <f>#REF!</f>
        <v>#REF!</v>
      </c>
      <c r="CK43" s="136" t="e">
        <f>#REF!</f>
        <v>#REF!</v>
      </c>
      <c r="CL43">
        <v>0</v>
      </c>
      <c r="CM43">
        <v>0</v>
      </c>
      <c r="CN43">
        <v>0</v>
      </c>
      <c r="CO43">
        <v>0</v>
      </c>
      <c r="CP43" t="e">
        <f>#REF!</f>
        <v>#REF!</v>
      </c>
      <c r="CQ43" t="e">
        <f>#REF!</f>
        <v>#REF!</v>
      </c>
      <c r="CR43" t="e">
        <f>#REF!</f>
        <v>#REF!</v>
      </c>
      <c r="CS43" t="e">
        <f>#REF!</f>
        <v>#REF!</v>
      </c>
      <c r="CT43" t="e">
        <f>#REF!</f>
        <v>#REF!</v>
      </c>
      <c r="CU43" t="e">
        <f>#REF!</f>
        <v>#REF!</v>
      </c>
      <c r="CV43" t="e">
        <f>#REF!</f>
        <v>#REF!</v>
      </c>
      <c r="CW43" t="e">
        <f>#REF!</f>
        <v>#REF!</v>
      </c>
      <c r="CX43" t="e">
        <f>#REF!</f>
        <v>#REF!</v>
      </c>
      <c r="CY43" t="e">
        <f>#REF!</f>
        <v>#REF!</v>
      </c>
      <c r="CZ43" t="e">
        <f>#REF!</f>
        <v>#REF!</v>
      </c>
      <c r="DA43" t="e">
        <f>#REF!</f>
        <v>#REF!</v>
      </c>
      <c r="DB43" t="e">
        <f>#REF!</f>
        <v>#REF!</v>
      </c>
      <c r="DC43" t="e">
        <f>#REF!</f>
        <v>#REF!</v>
      </c>
      <c r="DD43" t="e">
        <f>#REF!</f>
        <v>#REF!</v>
      </c>
      <c r="DE43" t="e">
        <f>#REF!</f>
        <v>#REF!</v>
      </c>
      <c r="DF43" t="e">
        <f>#REF!</f>
        <v>#REF!</v>
      </c>
      <c r="DG43" t="e">
        <f>#REF!</f>
        <v>#REF!</v>
      </c>
      <c r="DH43" t="e">
        <f>#REF!</f>
        <v>#REF!</v>
      </c>
      <c r="DI43" t="e">
        <f>#REF!</f>
        <v>#REF!</v>
      </c>
      <c r="DJ43" t="e">
        <f>#REF!</f>
        <v>#REF!</v>
      </c>
      <c r="DK43" t="e">
        <f>#REF!</f>
        <v>#REF!</v>
      </c>
      <c r="DL43" t="e">
        <f>#REF!</f>
        <v>#REF!</v>
      </c>
      <c r="DM43" t="e">
        <f>#REF!</f>
        <v>#REF!</v>
      </c>
      <c r="DN43" t="e">
        <f>#REF!</f>
        <v>#REF!</v>
      </c>
      <c r="DO43" t="e">
        <f>#REF!</f>
        <v>#REF!</v>
      </c>
      <c r="DP43" t="e">
        <f>#REF!</f>
        <v>#REF!</v>
      </c>
      <c r="DQ43" t="e">
        <f>#REF!</f>
        <v>#REF!</v>
      </c>
      <c r="DR43" t="e">
        <f>#REF!</f>
        <v>#REF!</v>
      </c>
      <c r="DS43" t="e">
        <f>#REF!</f>
        <v>#REF!</v>
      </c>
      <c r="DT43" t="e">
        <f>#REF!</f>
        <v>#REF!</v>
      </c>
      <c r="DU43" t="e">
        <f>#REF!</f>
        <v>#REF!</v>
      </c>
      <c r="DV43" t="e">
        <f>#REF!</f>
        <v>#REF!</v>
      </c>
      <c r="DW43" t="e">
        <f>#REF!</f>
        <v>#REF!</v>
      </c>
      <c r="DX43" t="e">
        <f>#REF!</f>
        <v>#REF!</v>
      </c>
      <c r="DY43" t="e">
        <f>#REF!</f>
        <v>#REF!</v>
      </c>
      <c r="DZ43" t="e">
        <f>#REF!</f>
        <v>#REF!</v>
      </c>
      <c r="EA43" t="e">
        <f>#REF!</f>
        <v>#REF!</v>
      </c>
      <c r="EB43" t="e">
        <f>#REF!</f>
        <v>#REF!</v>
      </c>
      <c r="EC43" t="e">
        <f>#REF!</f>
        <v>#REF!</v>
      </c>
      <c r="ED43" t="e">
        <f>#REF!</f>
        <v>#REF!</v>
      </c>
      <c r="EE43" t="e">
        <f>#REF!</f>
        <v>#REF!</v>
      </c>
      <c r="EF43" t="e">
        <f>#REF!</f>
        <v>#REF!</v>
      </c>
      <c r="EG43" t="e">
        <f>#REF!</f>
        <v>#REF!</v>
      </c>
      <c r="EH43" t="e">
        <f>#REF!</f>
        <v>#REF!</v>
      </c>
      <c r="EI43" t="e">
        <f>#REF!</f>
        <v>#REF!</v>
      </c>
      <c r="EJ43" t="e">
        <f>#REF!</f>
        <v>#REF!</v>
      </c>
      <c r="EK43" t="e">
        <f>#REF!</f>
        <v>#REF!</v>
      </c>
      <c r="EL43" t="e">
        <f>#REF!</f>
        <v>#REF!</v>
      </c>
      <c r="EM43" t="e">
        <f>#REF!</f>
        <v>#REF!</v>
      </c>
      <c r="EN43" t="e">
        <f>#REF!</f>
        <v>#REF!</v>
      </c>
      <c r="EO43" t="e">
        <f>#REF!</f>
        <v>#REF!</v>
      </c>
      <c r="EP43" t="e">
        <f>#REF!</f>
        <v>#REF!</v>
      </c>
      <c r="EQ43" t="e">
        <f>#REF!</f>
        <v>#REF!</v>
      </c>
      <c r="ER43" t="e">
        <f>#REF!</f>
        <v>#REF!</v>
      </c>
      <c r="ES43" t="e">
        <f>#REF!</f>
        <v>#REF!</v>
      </c>
      <c r="ET43" t="e">
        <f>#REF!</f>
        <v>#REF!</v>
      </c>
      <c r="EU43" t="e">
        <f>#REF!</f>
        <v>#REF!</v>
      </c>
      <c r="EV43" t="e">
        <f>#REF!</f>
        <v>#REF!</v>
      </c>
      <c r="EW43" t="e">
        <f>#REF!</f>
        <v>#REF!</v>
      </c>
      <c r="EX43" t="e">
        <f>#REF!</f>
        <v>#REF!</v>
      </c>
      <c r="EY43" t="e">
        <f>#REF!</f>
        <v>#REF!</v>
      </c>
      <c r="EZ43" t="e">
        <f>#REF!</f>
        <v>#REF!</v>
      </c>
      <c r="FA43" t="e">
        <f>#REF!</f>
        <v>#REF!</v>
      </c>
      <c r="FB43" t="e">
        <f>#REF!</f>
        <v>#REF!</v>
      </c>
      <c r="FC43" t="e">
        <f>#REF!</f>
        <v>#REF!</v>
      </c>
      <c r="FD43" t="e">
        <f>#REF!</f>
        <v>#REF!</v>
      </c>
      <c r="FE43" t="e">
        <f>#REF!</f>
        <v>#REF!</v>
      </c>
      <c r="FF43" t="e">
        <f>#REF!</f>
        <v>#REF!</v>
      </c>
      <c r="FG43" t="e">
        <f>#REF!</f>
        <v>#REF!</v>
      </c>
      <c r="FH43" t="e">
        <f>#REF!</f>
        <v>#REF!</v>
      </c>
      <c r="FI43" t="e">
        <f>#REF!</f>
        <v>#REF!</v>
      </c>
      <c r="FJ43" t="e">
        <f>#REF!</f>
        <v>#REF!</v>
      </c>
      <c r="FK43" t="e">
        <f>#REF!</f>
        <v>#REF!</v>
      </c>
      <c r="FL43" t="e">
        <f>#REF!</f>
        <v>#REF!</v>
      </c>
      <c r="FM43" t="e">
        <f>#REF!</f>
        <v>#REF!</v>
      </c>
      <c r="FN43" t="e">
        <f>#REF!</f>
        <v>#REF!</v>
      </c>
    </row>
    <row r="44" spans="1:170" ht="15" x14ac:dyDescent="0.25">
      <c r="A44" s="619">
        <v>1</v>
      </c>
      <c r="B44" s="133" t="e">
        <f>RIGHT(#REF!,LEN(#REF!)-(FIND("Standards",#REF!,1)+9))</f>
        <v>#REF!</v>
      </c>
      <c r="C44" s="620" t="e">
        <f>#REF!</f>
        <v>#REF!</v>
      </c>
      <c r="D44" s="620">
        <v>72699</v>
      </c>
      <c r="E44" s="621" t="e">
        <f>#REF!</f>
        <v>#REF!</v>
      </c>
      <c r="F44" s="621" t="e">
        <f>#REF!</f>
        <v>#REF!</v>
      </c>
      <c r="G44" s="619" t="e">
        <f>#REF!</f>
        <v>#REF!</v>
      </c>
      <c r="H44" s="619" t="e">
        <f>#REF!</f>
        <v>#REF!</v>
      </c>
      <c r="I44" s="621" t="e">
        <f>#REF!</f>
        <v>#REF!</v>
      </c>
      <c r="J44" s="619" t="e">
        <f>#REF!</f>
        <v>#REF!</v>
      </c>
      <c r="K44" s="621" t="e">
        <f>#REF!</f>
        <v>#REF!</v>
      </c>
      <c r="L44" s="622" t="e">
        <f>#REF!</f>
        <v>#REF!</v>
      </c>
      <c r="M44" s="622" t="e">
        <f>#REF!</f>
        <v>#REF!</v>
      </c>
      <c r="N44" t="e">
        <f>#REF!</f>
        <v>#REF!</v>
      </c>
      <c r="O44" t="e">
        <f>#REF!</f>
        <v>#REF!</v>
      </c>
      <c r="P44" t="e">
        <f>#REF!</f>
        <v>#REF!</v>
      </c>
      <c r="Q44" s="136" t="e">
        <f>#REF!</f>
        <v>#REF!</v>
      </c>
      <c r="R44" s="136" t="e">
        <f>#REF!</f>
        <v>#REF!</v>
      </c>
      <c r="S44" s="136" t="e">
        <f>#REF!</f>
        <v>#REF!</v>
      </c>
      <c r="T44" s="136" t="e">
        <f>#REF!</f>
        <v>#REF!</v>
      </c>
      <c r="U44" s="136" t="e">
        <f>#REF!</f>
        <v>#REF!</v>
      </c>
      <c r="V44" s="136" t="e">
        <f>#REF!</f>
        <v>#REF!</v>
      </c>
      <c r="W44" s="136" t="e">
        <f>#REF!</f>
        <v>#REF!</v>
      </c>
      <c r="X44" s="136" t="e">
        <f>#REF!</f>
        <v>#REF!</v>
      </c>
      <c r="Y44" s="136" t="e">
        <f>#REF!</f>
        <v>#REF!</v>
      </c>
      <c r="Z44" s="136" t="e">
        <f>#REF!</f>
        <v>#REF!</v>
      </c>
      <c r="AA44" s="136" t="e">
        <f>#REF!</f>
        <v>#REF!</v>
      </c>
      <c r="AB44" s="136" t="e">
        <f>#REF!</f>
        <v>#REF!</v>
      </c>
      <c r="AC44" s="136" t="e">
        <f>#REF!</f>
        <v>#REF!</v>
      </c>
      <c r="AD44" s="136" t="e">
        <f>#REF!</f>
        <v>#REF!</v>
      </c>
      <c r="AE44" s="136" t="e">
        <f>#REF!</f>
        <v>#REF!</v>
      </c>
      <c r="AF44" s="136" t="e">
        <f>#REF!</f>
        <v>#REF!</v>
      </c>
      <c r="AG44" s="136" t="e">
        <f>#REF!</f>
        <v>#REF!</v>
      </c>
      <c r="AH44" s="136" t="e">
        <f>#REF!</f>
        <v>#REF!</v>
      </c>
      <c r="AI44" s="136" t="e">
        <f>#REF!</f>
        <v>#REF!</v>
      </c>
      <c r="AJ44" s="136" t="e">
        <f>#REF!</f>
        <v>#REF!</v>
      </c>
      <c r="AK44" s="136" t="e">
        <f>#REF!</f>
        <v>#REF!</v>
      </c>
      <c r="AL44" s="136"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s="137" t="e">
        <f>#REF!</f>
        <v>#REF!</v>
      </c>
      <c r="BO44" s="137" t="e">
        <f>#REF!</f>
        <v>#REF!</v>
      </c>
      <c r="BP44" s="137" t="e">
        <f>#REF!</f>
        <v>#REF!</v>
      </c>
      <c r="BQ44" s="137" t="e">
        <f>#REF!</f>
        <v>#REF!</v>
      </c>
      <c r="BR44" s="137" t="e">
        <f>#REF!</f>
        <v>#REF!</v>
      </c>
      <c r="BS44" s="137" t="e">
        <f>#REF!</f>
        <v>#REF!</v>
      </c>
      <c r="BT44" s="137" t="e">
        <f>#REF!</f>
        <v>#REF!</v>
      </c>
      <c r="BU44" s="137" t="e">
        <f>#REF!</f>
        <v>#REF!</v>
      </c>
      <c r="BV44" s="137" t="e">
        <f>#REF!</f>
        <v>#REF!</v>
      </c>
      <c r="BW44" s="137" t="e">
        <f>#REF!</f>
        <v>#REF!</v>
      </c>
      <c r="BX44" s="137" t="e">
        <f>#REF!</f>
        <v>#REF!</v>
      </c>
      <c r="BY44" s="137" t="e">
        <f>#REF!</f>
        <v>#REF!</v>
      </c>
      <c r="BZ44" s="137" t="e">
        <f>#REF!</f>
        <v>#REF!</v>
      </c>
      <c r="CA44" s="137" t="e">
        <f>#REF!</f>
        <v>#REF!</v>
      </c>
      <c r="CB44" t="e">
        <f>#REF!</f>
        <v>#REF!</v>
      </c>
      <c r="CC44" t="e">
        <f>#REF!</f>
        <v>#REF!</v>
      </c>
      <c r="CD44" t="e">
        <f>#REF!</f>
        <v>#REF!</v>
      </c>
      <c r="CE44" t="e">
        <f>#REF!</f>
        <v>#REF!</v>
      </c>
      <c r="CF44" t="e">
        <f>#REF!</f>
        <v>#REF!</v>
      </c>
      <c r="CG44" t="e">
        <f>#REF!</f>
        <v>#REF!</v>
      </c>
      <c r="CH44" t="e">
        <f>#REF!</f>
        <v>#REF!</v>
      </c>
      <c r="CI44" t="e">
        <f>#REF!</f>
        <v>#REF!</v>
      </c>
      <c r="CJ44" s="136" t="e">
        <f>#REF!</f>
        <v>#REF!</v>
      </c>
      <c r="CK44" s="136" t="e">
        <f>#REF!</f>
        <v>#REF!</v>
      </c>
      <c r="CL44">
        <v>0</v>
      </c>
      <c r="CM44">
        <v>0</v>
      </c>
      <c r="CN44">
        <v>0</v>
      </c>
      <c r="CO44">
        <v>0</v>
      </c>
      <c r="CP44" t="e">
        <f>#REF!</f>
        <v>#REF!</v>
      </c>
      <c r="CQ44" t="e">
        <f>#REF!</f>
        <v>#REF!</v>
      </c>
      <c r="CR44" t="e">
        <f>#REF!</f>
        <v>#REF!</v>
      </c>
      <c r="CS44" t="e">
        <f>#REF!</f>
        <v>#REF!</v>
      </c>
      <c r="CT44" t="e">
        <f>#REF!</f>
        <v>#REF!</v>
      </c>
      <c r="CU44" t="e">
        <f>#REF!</f>
        <v>#REF!</v>
      </c>
      <c r="CV44" t="e">
        <f>#REF!</f>
        <v>#REF!</v>
      </c>
      <c r="CW44" t="e">
        <f>#REF!</f>
        <v>#REF!</v>
      </c>
      <c r="CX44" t="e">
        <f>#REF!</f>
        <v>#REF!</v>
      </c>
      <c r="CY44" t="e">
        <f>#REF!</f>
        <v>#REF!</v>
      </c>
      <c r="CZ44" t="e">
        <f>#REF!</f>
        <v>#REF!</v>
      </c>
      <c r="DA44" t="e">
        <f>#REF!</f>
        <v>#REF!</v>
      </c>
      <c r="DB44" t="e">
        <f>#REF!</f>
        <v>#REF!</v>
      </c>
      <c r="DC44" t="e">
        <f>#REF!</f>
        <v>#REF!</v>
      </c>
      <c r="DD44" t="e">
        <f>#REF!</f>
        <v>#REF!</v>
      </c>
      <c r="DE44" t="e">
        <f>#REF!</f>
        <v>#REF!</v>
      </c>
      <c r="DF44" t="e">
        <f>#REF!</f>
        <v>#REF!</v>
      </c>
      <c r="DG44" t="e">
        <f>#REF!</f>
        <v>#REF!</v>
      </c>
      <c r="DH44" t="e">
        <f>#REF!</f>
        <v>#REF!</v>
      </c>
      <c r="DI44" t="e">
        <f>#REF!</f>
        <v>#REF!</v>
      </c>
      <c r="DJ44" t="e">
        <f>#REF!</f>
        <v>#REF!</v>
      </c>
      <c r="DK44" t="e">
        <f>#REF!</f>
        <v>#REF!</v>
      </c>
      <c r="DL44" t="e">
        <f>#REF!</f>
        <v>#REF!</v>
      </c>
      <c r="DM44" t="e">
        <f>#REF!</f>
        <v>#REF!</v>
      </c>
      <c r="DN44" t="e">
        <f>#REF!</f>
        <v>#REF!</v>
      </c>
      <c r="DO44" t="e">
        <f>#REF!</f>
        <v>#REF!</v>
      </c>
      <c r="DP44" t="e">
        <f>#REF!</f>
        <v>#REF!</v>
      </c>
      <c r="DQ44" t="e">
        <f>#REF!</f>
        <v>#REF!</v>
      </c>
      <c r="DR44" t="e">
        <f>#REF!</f>
        <v>#REF!</v>
      </c>
      <c r="DS44" t="e">
        <f>#REF!</f>
        <v>#REF!</v>
      </c>
      <c r="DT44" t="e">
        <f>#REF!</f>
        <v>#REF!</v>
      </c>
      <c r="DU44" t="e">
        <f>#REF!</f>
        <v>#REF!</v>
      </c>
      <c r="DV44" t="e">
        <f>#REF!</f>
        <v>#REF!</v>
      </c>
      <c r="DW44" t="e">
        <f>#REF!</f>
        <v>#REF!</v>
      </c>
      <c r="DX44" t="e">
        <f>#REF!</f>
        <v>#REF!</v>
      </c>
      <c r="DY44" t="e">
        <f>#REF!</f>
        <v>#REF!</v>
      </c>
      <c r="DZ44" t="e">
        <f>#REF!</f>
        <v>#REF!</v>
      </c>
      <c r="EA44" t="e">
        <f>#REF!</f>
        <v>#REF!</v>
      </c>
      <c r="EB44" t="e">
        <f>#REF!</f>
        <v>#REF!</v>
      </c>
      <c r="EC44" t="e">
        <f>#REF!</f>
        <v>#REF!</v>
      </c>
      <c r="ED44" t="e">
        <f>#REF!</f>
        <v>#REF!</v>
      </c>
      <c r="EE44" t="e">
        <f>#REF!</f>
        <v>#REF!</v>
      </c>
      <c r="EF44" t="e">
        <f>#REF!</f>
        <v>#REF!</v>
      </c>
      <c r="EG44" t="e">
        <f>#REF!</f>
        <v>#REF!</v>
      </c>
      <c r="EH44" t="e">
        <f>#REF!</f>
        <v>#REF!</v>
      </c>
      <c r="EI44" t="e">
        <f>#REF!</f>
        <v>#REF!</v>
      </c>
      <c r="EJ44" t="e">
        <f>#REF!</f>
        <v>#REF!</v>
      </c>
      <c r="EK44" t="e">
        <f>#REF!</f>
        <v>#REF!</v>
      </c>
      <c r="EL44" t="e">
        <f>#REF!</f>
        <v>#REF!</v>
      </c>
      <c r="EM44" t="e">
        <f>#REF!</f>
        <v>#REF!</v>
      </c>
      <c r="EN44" t="e">
        <f>#REF!</f>
        <v>#REF!</v>
      </c>
      <c r="EO44" t="e">
        <f>#REF!</f>
        <v>#REF!</v>
      </c>
      <c r="EP44" t="e">
        <f>#REF!</f>
        <v>#REF!</v>
      </c>
      <c r="EQ44" t="e">
        <f>#REF!</f>
        <v>#REF!</v>
      </c>
      <c r="ER44" t="e">
        <f>#REF!</f>
        <v>#REF!</v>
      </c>
      <c r="ES44" t="e">
        <f>#REF!</f>
        <v>#REF!</v>
      </c>
      <c r="ET44" t="e">
        <f>#REF!</f>
        <v>#REF!</v>
      </c>
      <c r="EU44" t="e">
        <f>#REF!</f>
        <v>#REF!</v>
      </c>
      <c r="EV44" t="e">
        <f>#REF!</f>
        <v>#REF!</v>
      </c>
      <c r="EW44" t="e">
        <f>#REF!</f>
        <v>#REF!</v>
      </c>
      <c r="EX44" t="e">
        <f>#REF!</f>
        <v>#REF!</v>
      </c>
      <c r="EY44" t="e">
        <f>#REF!</f>
        <v>#REF!</v>
      </c>
      <c r="EZ44" t="e">
        <f>#REF!</f>
        <v>#REF!</v>
      </c>
      <c r="FA44" t="e">
        <f>#REF!</f>
        <v>#REF!</v>
      </c>
      <c r="FB44" t="e">
        <f>#REF!</f>
        <v>#REF!</v>
      </c>
      <c r="FC44" t="e">
        <f>#REF!</f>
        <v>#REF!</v>
      </c>
      <c r="FD44" t="e">
        <f>#REF!</f>
        <v>#REF!</v>
      </c>
      <c r="FE44" t="e">
        <f>#REF!</f>
        <v>#REF!</v>
      </c>
      <c r="FF44" t="e">
        <f>#REF!</f>
        <v>#REF!</v>
      </c>
      <c r="FG44" t="e">
        <f>#REF!</f>
        <v>#REF!</v>
      </c>
      <c r="FH44" t="e">
        <f>#REF!</f>
        <v>#REF!</v>
      </c>
      <c r="FI44" t="e">
        <f>#REF!</f>
        <v>#REF!</v>
      </c>
      <c r="FJ44" t="e">
        <f>#REF!</f>
        <v>#REF!</v>
      </c>
      <c r="FK44" t="e">
        <f>#REF!</f>
        <v>#REF!</v>
      </c>
      <c r="FL44" t="e">
        <f>#REF!</f>
        <v>#REF!</v>
      </c>
      <c r="FM44" t="e">
        <f>#REF!</f>
        <v>#REF!</v>
      </c>
      <c r="FN44" t="e">
        <f>#REF!</f>
        <v>#REF!</v>
      </c>
    </row>
    <row r="45" spans="1:170" ht="15" x14ac:dyDescent="0.25">
      <c r="A45" s="619">
        <v>1</v>
      </c>
      <c r="B45" s="133" t="e">
        <f>RIGHT(#REF!,LEN(#REF!)-(FIND("Standards",#REF!,1)+9))</f>
        <v>#REF!</v>
      </c>
      <c r="C45" s="620" t="e">
        <f>#REF!</f>
        <v>#REF!</v>
      </c>
      <c r="D45" s="620">
        <v>72700</v>
      </c>
      <c r="E45" s="621" t="e">
        <f>#REF!</f>
        <v>#REF!</v>
      </c>
      <c r="F45" s="621" t="e">
        <f>#REF!</f>
        <v>#REF!</v>
      </c>
      <c r="G45" s="619" t="e">
        <f>#REF!</f>
        <v>#REF!</v>
      </c>
      <c r="H45" s="619" t="e">
        <f>#REF!</f>
        <v>#REF!</v>
      </c>
      <c r="I45" s="621" t="e">
        <f>#REF!</f>
        <v>#REF!</v>
      </c>
      <c r="J45" s="619" t="e">
        <f>#REF!</f>
        <v>#REF!</v>
      </c>
      <c r="K45" s="621" t="e">
        <f>#REF!</f>
        <v>#REF!</v>
      </c>
      <c r="L45" s="622" t="e">
        <f>#REF!</f>
        <v>#REF!</v>
      </c>
      <c r="M45" s="622" t="e">
        <f>#REF!</f>
        <v>#REF!</v>
      </c>
      <c r="N45" t="e">
        <f>#REF!</f>
        <v>#REF!</v>
      </c>
      <c r="O45" t="e">
        <f>#REF!</f>
        <v>#REF!</v>
      </c>
      <c r="P45" t="e">
        <f>#REF!</f>
        <v>#REF!</v>
      </c>
      <c r="Q45" s="136" t="e">
        <f>#REF!</f>
        <v>#REF!</v>
      </c>
      <c r="R45" s="136" t="e">
        <f>#REF!</f>
        <v>#REF!</v>
      </c>
      <c r="S45" s="136" t="e">
        <f>#REF!</f>
        <v>#REF!</v>
      </c>
      <c r="T45" s="136" t="e">
        <f>#REF!</f>
        <v>#REF!</v>
      </c>
      <c r="U45" s="136" t="e">
        <f>#REF!</f>
        <v>#REF!</v>
      </c>
      <c r="V45" s="136" t="e">
        <f>#REF!</f>
        <v>#REF!</v>
      </c>
      <c r="W45" s="136" t="e">
        <f>#REF!</f>
        <v>#REF!</v>
      </c>
      <c r="X45" s="136" t="e">
        <f>#REF!</f>
        <v>#REF!</v>
      </c>
      <c r="Y45" s="136" t="e">
        <f>#REF!</f>
        <v>#REF!</v>
      </c>
      <c r="Z45" s="136" t="e">
        <f>#REF!</f>
        <v>#REF!</v>
      </c>
      <c r="AA45" s="136" t="e">
        <f>#REF!</f>
        <v>#REF!</v>
      </c>
      <c r="AB45" s="136" t="e">
        <f>#REF!</f>
        <v>#REF!</v>
      </c>
      <c r="AC45" s="136" t="e">
        <f>#REF!</f>
        <v>#REF!</v>
      </c>
      <c r="AD45" s="136" t="e">
        <f>#REF!</f>
        <v>#REF!</v>
      </c>
      <c r="AE45" s="136" t="e">
        <f>#REF!</f>
        <v>#REF!</v>
      </c>
      <c r="AF45" s="136" t="e">
        <f>#REF!</f>
        <v>#REF!</v>
      </c>
      <c r="AG45" s="136" t="e">
        <f>#REF!</f>
        <v>#REF!</v>
      </c>
      <c r="AH45" s="136" t="e">
        <f>#REF!</f>
        <v>#REF!</v>
      </c>
      <c r="AI45" s="136" t="e">
        <f>#REF!</f>
        <v>#REF!</v>
      </c>
      <c r="AJ45" s="136" t="e">
        <f>#REF!</f>
        <v>#REF!</v>
      </c>
      <c r="AK45" s="136" t="e">
        <f>#REF!</f>
        <v>#REF!</v>
      </c>
      <c r="AL45" s="136"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s="137" t="e">
        <f>#REF!</f>
        <v>#REF!</v>
      </c>
      <c r="BO45" s="137" t="e">
        <f>#REF!</f>
        <v>#REF!</v>
      </c>
      <c r="BP45" s="137" t="e">
        <f>#REF!</f>
        <v>#REF!</v>
      </c>
      <c r="BQ45" s="137" t="e">
        <f>#REF!</f>
        <v>#REF!</v>
      </c>
      <c r="BR45" s="137" t="e">
        <f>#REF!</f>
        <v>#REF!</v>
      </c>
      <c r="BS45" s="137" t="e">
        <f>#REF!</f>
        <v>#REF!</v>
      </c>
      <c r="BT45" s="137" t="e">
        <f>#REF!</f>
        <v>#REF!</v>
      </c>
      <c r="BU45" s="137" t="e">
        <f>#REF!</f>
        <v>#REF!</v>
      </c>
      <c r="BV45" s="137" t="e">
        <f>#REF!</f>
        <v>#REF!</v>
      </c>
      <c r="BW45" s="137" t="e">
        <f>#REF!</f>
        <v>#REF!</v>
      </c>
      <c r="BX45" s="137" t="e">
        <f>#REF!</f>
        <v>#REF!</v>
      </c>
      <c r="BY45" s="137" t="e">
        <f>#REF!</f>
        <v>#REF!</v>
      </c>
      <c r="BZ45" s="137" t="e">
        <f>#REF!</f>
        <v>#REF!</v>
      </c>
      <c r="CA45" s="137" t="e">
        <f>#REF!</f>
        <v>#REF!</v>
      </c>
      <c r="CB45" t="e">
        <f>#REF!</f>
        <v>#REF!</v>
      </c>
      <c r="CC45" t="e">
        <f>#REF!</f>
        <v>#REF!</v>
      </c>
      <c r="CD45" t="e">
        <f>#REF!</f>
        <v>#REF!</v>
      </c>
      <c r="CE45" t="e">
        <f>#REF!</f>
        <v>#REF!</v>
      </c>
      <c r="CF45" t="e">
        <f>#REF!</f>
        <v>#REF!</v>
      </c>
      <c r="CG45" t="e">
        <f>#REF!</f>
        <v>#REF!</v>
      </c>
      <c r="CH45" t="e">
        <f>#REF!</f>
        <v>#REF!</v>
      </c>
      <c r="CI45" t="e">
        <f>#REF!</f>
        <v>#REF!</v>
      </c>
      <c r="CJ45" s="136" t="e">
        <f>#REF!</f>
        <v>#REF!</v>
      </c>
      <c r="CK45" s="136" t="e">
        <f>#REF!</f>
        <v>#REF!</v>
      </c>
      <c r="CL45">
        <v>0</v>
      </c>
      <c r="CM45">
        <v>0</v>
      </c>
      <c r="CN45">
        <v>0</v>
      </c>
      <c r="CO45">
        <v>0</v>
      </c>
      <c r="CP45" t="e">
        <f>#REF!</f>
        <v>#REF!</v>
      </c>
      <c r="CQ45" t="e">
        <f>#REF!</f>
        <v>#REF!</v>
      </c>
      <c r="CR45" t="e">
        <f>#REF!</f>
        <v>#REF!</v>
      </c>
      <c r="CS45" t="e">
        <f>#REF!</f>
        <v>#REF!</v>
      </c>
      <c r="CT45" t="e">
        <f>#REF!</f>
        <v>#REF!</v>
      </c>
      <c r="CU45" t="e">
        <f>#REF!</f>
        <v>#REF!</v>
      </c>
      <c r="CV45" t="e">
        <f>#REF!</f>
        <v>#REF!</v>
      </c>
      <c r="CW45" t="e">
        <f>#REF!</f>
        <v>#REF!</v>
      </c>
      <c r="CX45" t="e">
        <f>#REF!</f>
        <v>#REF!</v>
      </c>
      <c r="CY45" t="e">
        <f>#REF!</f>
        <v>#REF!</v>
      </c>
      <c r="CZ45" t="e">
        <f>#REF!</f>
        <v>#REF!</v>
      </c>
      <c r="DA45" t="e">
        <f>#REF!</f>
        <v>#REF!</v>
      </c>
      <c r="DB45" t="e">
        <f>#REF!</f>
        <v>#REF!</v>
      </c>
      <c r="DC45" t="e">
        <f>#REF!</f>
        <v>#REF!</v>
      </c>
      <c r="DD45" t="e">
        <f>#REF!</f>
        <v>#REF!</v>
      </c>
      <c r="DE45" t="e">
        <f>#REF!</f>
        <v>#REF!</v>
      </c>
      <c r="DF45" t="e">
        <f>#REF!</f>
        <v>#REF!</v>
      </c>
      <c r="DG45" t="e">
        <f>#REF!</f>
        <v>#REF!</v>
      </c>
      <c r="DH45" t="e">
        <f>#REF!</f>
        <v>#REF!</v>
      </c>
      <c r="DI45" t="e">
        <f>#REF!</f>
        <v>#REF!</v>
      </c>
      <c r="DJ45" t="e">
        <f>#REF!</f>
        <v>#REF!</v>
      </c>
      <c r="DK45" t="e">
        <f>#REF!</f>
        <v>#REF!</v>
      </c>
      <c r="DL45" t="e">
        <f>#REF!</f>
        <v>#REF!</v>
      </c>
      <c r="DM45" t="e">
        <f>#REF!</f>
        <v>#REF!</v>
      </c>
      <c r="DN45" t="e">
        <f>#REF!</f>
        <v>#REF!</v>
      </c>
      <c r="DO45" t="e">
        <f>#REF!</f>
        <v>#REF!</v>
      </c>
      <c r="DP45" t="e">
        <f>#REF!</f>
        <v>#REF!</v>
      </c>
      <c r="DQ45" t="e">
        <f>#REF!</f>
        <v>#REF!</v>
      </c>
      <c r="DR45" t="e">
        <f>#REF!</f>
        <v>#REF!</v>
      </c>
      <c r="DS45" t="e">
        <f>#REF!</f>
        <v>#REF!</v>
      </c>
      <c r="DT45" t="e">
        <f>#REF!</f>
        <v>#REF!</v>
      </c>
      <c r="DU45" t="e">
        <f>#REF!</f>
        <v>#REF!</v>
      </c>
      <c r="DV45" t="e">
        <f>#REF!</f>
        <v>#REF!</v>
      </c>
      <c r="DW45" t="e">
        <f>#REF!</f>
        <v>#REF!</v>
      </c>
      <c r="DX45" t="e">
        <f>#REF!</f>
        <v>#REF!</v>
      </c>
      <c r="DY45" t="e">
        <f>#REF!</f>
        <v>#REF!</v>
      </c>
      <c r="DZ45" t="e">
        <f>#REF!</f>
        <v>#REF!</v>
      </c>
      <c r="EA45" t="e">
        <f>#REF!</f>
        <v>#REF!</v>
      </c>
      <c r="EB45" t="e">
        <f>#REF!</f>
        <v>#REF!</v>
      </c>
      <c r="EC45" t="e">
        <f>#REF!</f>
        <v>#REF!</v>
      </c>
      <c r="ED45" t="e">
        <f>#REF!</f>
        <v>#REF!</v>
      </c>
      <c r="EE45" t="e">
        <f>#REF!</f>
        <v>#REF!</v>
      </c>
      <c r="EF45" t="e">
        <f>#REF!</f>
        <v>#REF!</v>
      </c>
      <c r="EG45" t="e">
        <f>#REF!</f>
        <v>#REF!</v>
      </c>
      <c r="EH45" t="e">
        <f>#REF!</f>
        <v>#REF!</v>
      </c>
      <c r="EI45" t="e">
        <f>#REF!</f>
        <v>#REF!</v>
      </c>
      <c r="EJ45" t="e">
        <f>#REF!</f>
        <v>#REF!</v>
      </c>
      <c r="EK45" t="e">
        <f>#REF!</f>
        <v>#REF!</v>
      </c>
      <c r="EL45" t="e">
        <f>#REF!</f>
        <v>#REF!</v>
      </c>
      <c r="EM45" t="e">
        <f>#REF!</f>
        <v>#REF!</v>
      </c>
      <c r="EN45" t="e">
        <f>#REF!</f>
        <v>#REF!</v>
      </c>
      <c r="EO45" t="e">
        <f>#REF!</f>
        <v>#REF!</v>
      </c>
      <c r="EP45" t="e">
        <f>#REF!</f>
        <v>#REF!</v>
      </c>
      <c r="EQ45" t="e">
        <f>#REF!</f>
        <v>#REF!</v>
      </c>
      <c r="ER45" t="e">
        <f>#REF!</f>
        <v>#REF!</v>
      </c>
      <c r="ES45" t="e">
        <f>#REF!</f>
        <v>#REF!</v>
      </c>
      <c r="ET45" t="e">
        <f>#REF!</f>
        <v>#REF!</v>
      </c>
      <c r="EU45" t="e">
        <f>#REF!</f>
        <v>#REF!</v>
      </c>
      <c r="EV45" t="e">
        <f>#REF!</f>
        <v>#REF!</v>
      </c>
      <c r="EW45" t="e">
        <f>#REF!</f>
        <v>#REF!</v>
      </c>
      <c r="EX45" t="e">
        <f>#REF!</f>
        <v>#REF!</v>
      </c>
      <c r="EY45" t="e">
        <f>#REF!</f>
        <v>#REF!</v>
      </c>
      <c r="EZ45" t="e">
        <f>#REF!</f>
        <v>#REF!</v>
      </c>
      <c r="FA45" t="e">
        <f>#REF!</f>
        <v>#REF!</v>
      </c>
      <c r="FB45" t="e">
        <f>#REF!</f>
        <v>#REF!</v>
      </c>
      <c r="FC45" t="e">
        <f>#REF!</f>
        <v>#REF!</v>
      </c>
      <c r="FD45" t="e">
        <f>#REF!</f>
        <v>#REF!</v>
      </c>
      <c r="FE45" t="e">
        <f>#REF!</f>
        <v>#REF!</v>
      </c>
      <c r="FF45" t="e">
        <f>#REF!</f>
        <v>#REF!</v>
      </c>
      <c r="FG45" t="e">
        <f>#REF!</f>
        <v>#REF!</v>
      </c>
      <c r="FH45" t="e">
        <f>#REF!</f>
        <v>#REF!</v>
      </c>
      <c r="FI45" t="e">
        <f>#REF!</f>
        <v>#REF!</v>
      </c>
      <c r="FJ45" t="e">
        <f>#REF!</f>
        <v>#REF!</v>
      </c>
      <c r="FK45" t="e">
        <f>#REF!</f>
        <v>#REF!</v>
      </c>
      <c r="FL45" t="e">
        <f>#REF!</f>
        <v>#REF!</v>
      </c>
      <c r="FM45" t="e">
        <f>#REF!</f>
        <v>#REF!</v>
      </c>
      <c r="FN45" t="e">
        <f>#REF!</f>
        <v>#REF!</v>
      </c>
    </row>
    <row r="46" spans="1:170" ht="15" x14ac:dyDescent="0.25">
      <c r="A46" s="619">
        <v>1</v>
      </c>
      <c r="B46" s="133" t="e">
        <f>RIGHT(#REF!,LEN(#REF!)-(FIND("Standards",#REF!,1)+9))</f>
        <v>#REF!</v>
      </c>
      <c r="C46" s="620" t="e">
        <f>#REF!</f>
        <v>#REF!</v>
      </c>
      <c r="D46" s="620">
        <v>72701</v>
      </c>
      <c r="E46" s="621" t="e">
        <f>#REF!</f>
        <v>#REF!</v>
      </c>
      <c r="F46" s="621" t="e">
        <f>#REF!</f>
        <v>#REF!</v>
      </c>
      <c r="G46" s="619" t="e">
        <f>#REF!</f>
        <v>#REF!</v>
      </c>
      <c r="H46" s="619" t="e">
        <f>#REF!</f>
        <v>#REF!</v>
      </c>
      <c r="I46" s="621" t="e">
        <f>#REF!</f>
        <v>#REF!</v>
      </c>
      <c r="J46" s="619" t="e">
        <f>#REF!</f>
        <v>#REF!</v>
      </c>
      <c r="K46" s="621" t="e">
        <f>#REF!</f>
        <v>#REF!</v>
      </c>
      <c r="L46" s="622" t="e">
        <f>#REF!</f>
        <v>#REF!</v>
      </c>
      <c r="M46" s="622" t="e">
        <f>#REF!</f>
        <v>#REF!</v>
      </c>
      <c r="N46" t="e">
        <f>#REF!</f>
        <v>#REF!</v>
      </c>
      <c r="O46" t="e">
        <f>#REF!</f>
        <v>#REF!</v>
      </c>
      <c r="P46" t="e">
        <f>#REF!</f>
        <v>#REF!</v>
      </c>
      <c r="Q46" s="136" t="e">
        <f>#REF!</f>
        <v>#REF!</v>
      </c>
      <c r="R46" s="136" t="e">
        <f>#REF!</f>
        <v>#REF!</v>
      </c>
      <c r="S46" s="136" t="e">
        <f>#REF!</f>
        <v>#REF!</v>
      </c>
      <c r="T46" s="136" t="e">
        <f>#REF!</f>
        <v>#REF!</v>
      </c>
      <c r="U46" s="136" t="e">
        <f>#REF!</f>
        <v>#REF!</v>
      </c>
      <c r="V46" s="136" t="e">
        <f>#REF!</f>
        <v>#REF!</v>
      </c>
      <c r="W46" s="136" t="e">
        <f>#REF!</f>
        <v>#REF!</v>
      </c>
      <c r="X46" s="136" t="e">
        <f>#REF!</f>
        <v>#REF!</v>
      </c>
      <c r="Y46" s="136" t="e">
        <f>#REF!</f>
        <v>#REF!</v>
      </c>
      <c r="Z46" s="136" t="e">
        <f>#REF!</f>
        <v>#REF!</v>
      </c>
      <c r="AA46" s="136" t="e">
        <f>#REF!</f>
        <v>#REF!</v>
      </c>
      <c r="AB46" s="136" t="e">
        <f>#REF!</f>
        <v>#REF!</v>
      </c>
      <c r="AC46" s="136" t="e">
        <f>#REF!</f>
        <v>#REF!</v>
      </c>
      <c r="AD46" s="136" t="e">
        <f>#REF!</f>
        <v>#REF!</v>
      </c>
      <c r="AE46" s="136" t="e">
        <f>#REF!</f>
        <v>#REF!</v>
      </c>
      <c r="AF46" s="136" t="e">
        <f>#REF!</f>
        <v>#REF!</v>
      </c>
      <c r="AG46" s="136" t="e">
        <f>#REF!</f>
        <v>#REF!</v>
      </c>
      <c r="AH46" s="136" t="e">
        <f>#REF!</f>
        <v>#REF!</v>
      </c>
      <c r="AI46" s="136" t="e">
        <f>#REF!</f>
        <v>#REF!</v>
      </c>
      <c r="AJ46" s="136" t="e">
        <f>#REF!</f>
        <v>#REF!</v>
      </c>
      <c r="AK46" s="136" t="e">
        <f>#REF!</f>
        <v>#REF!</v>
      </c>
      <c r="AL46" s="13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s="137" t="e">
        <f>#REF!</f>
        <v>#REF!</v>
      </c>
      <c r="BO46" s="137" t="e">
        <f>#REF!</f>
        <v>#REF!</v>
      </c>
      <c r="BP46" s="137" t="e">
        <f>#REF!</f>
        <v>#REF!</v>
      </c>
      <c r="BQ46" s="137" t="e">
        <f>#REF!</f>
        <v>#REF!</v>
      </c>
      <c r="BR46" s="137" t="e">
        <f>#REF!</f>
        <v>#REF!</v>
      </c>
      <c r="BS46" s="137" t="e">
        <f>#REF!</f>
        <v>#REF!</v>
      </c>
      <c r="BT46" s="137" t="e">
        <f>#REF!</f>
        <v>#REF!</v>
      </c>
      <c r="BU46" s="137" t="e">
        <f>#REF!</f>
        <v>#REF!</v>
      </c>
      <c r="BV46" s="137" t="e">
        <f>#REF!</f>
        <v>#REF!</v>
      </c>
      <c r="BW46" s="137" t="e">
        <f>#REF!</f>
        <v>#REF!</v>
      </c>
      <c r="BX46" s="137" t="e">
        <f>#REF!</f>
        <v>#REF!</v>
      </c>
      <c r="BY46" s="137" t="e">
        <f>#REF!</f>
        <v>#REF!</v>
      </c>
      <c r="BZ46" s="137" t="e">
        <f>#REF!</f>
        <v>#REF!</v>
      </c>
      <c r="CA46" s="137" t="e">
        <f>#REF!</f>
        <v>#REF!</v>
      </c>
      <c r="CB46" t="e">
        <f>#REF!</f>
        <v>#REF!</v>
      </c>
      <c r="CC46" t="e">
        <f>#REF!</f>
        <v>#REF!</v>
      </c>
      <c r="CD46" t="e">
        <f>#REF!</f>
        <v>#REF!</v>
      </c>
      <c r="CE46" t="e">
        <f>#REF!</f>
        <v>#REF!</v>
      </c>
      <c r="CF46" t="e">
        <f>#REF!</f>
        <v>#REF!</v>
      </c>
      <c r="CG46" t="e">
        <f>#REF!</f>
        <v>#REF!</v>
      </c>
      <c r="CH46" t="e">
        <f>#REF!</f>
        <v>#REF!</v>
      </c>
      <c r="CI46" t="e">
        <f>#REF!</f>
        <v>#REF!</v>
      </c>
      <c r="CJ46" s="136" t="e">
        <f>#REF!</f>
        <v>#REF!</v>
      </c>
      <c r="CK46" s="136" t="e">
        <f>#REF!</f>
        <v>#REF!</v>
      </c>
      <c r="CL46">
        <v>0</v>
      </c>
      <c r="CM46">
        <v>0</v>
      </c>
      <c r="CN46">
        <v>0</v>
      </c>
      <c r="CO46">
        <v>0</v>
      </c>
      <c r="CP46" t="e">
        <f>#REF!</f>
        <v>#REF!</v>
      </c>
      <c r="CQ46" t="e">
        <f>#REF!</f>
        <v>#REF!</v>
      </c>
      <c r="CR46" t="e">
        <f>#REF!</f>
        <v>#REF!</v>
      </c>
      <c r="CS46" t="e">
        <f>#REF!</f>
        <v>#REF!</v>
      </c>
      <c r="CT46" t="e">
        <f>#REF!</f>
        <v>#REF!</v>
      </c>
      <c r="CU46" t="e">
        <f>#REF!</f>
        <v>#REF!</v>
      </c>
      <c r="CV46" t="e">
        <f>#REF!</f>
        <v>#REF!</v>
      </c>
      <c r="CW46" t="e">
        <f>#REF!</f>
        <v>#REF!</v>
      </c>
      <c r="CX46" t="e">
        <f>#REF!</f>
        <v>#REF!</v>
      </c>
      <c r="CY46" t="e">
        <f>#REF!</f>
        <v>#REF!</v>
      </c>
      <c r="CZ46" t="e">
        <f>#REF!</f>
        <v>#REF!</v>
      </c>
      <c r="DA46" t="e">
        <f>#REF!</f>
        <v>#REF!</v>
      </c>
      <c r="DB46" t="e">
        <f>#REF!</f>
        <v>#REF!</v>
      </c>
      <c r="DC46" t="e">
        <f>#REF!</f>
        <v>#REF!</v>
      </c>
      <c r="DD46" t="e">
        <f>#REF!</f>
        <v>#REF!</v>
      </c>
      <c r="DE46" t="e">
        <f>#REF!</f>
        <v>#REF!</v>
      </c>
      <c r="DF46" t="e">
        <f>#REF!</f>
        <v>#REF!</v>
      </c>
      <c r="DG46" t="e">
        <f>#REF!</f>
        <v>#REF!</v>
      </c>
      <c r="DH46" t="e">
        <f>#REF!</f>
        <v>#REF!</v>
      </c>
      <c r="DI46" t="e">
        <f>#REF!</f>
        <v>#REF!</v>
      </c>
      <c r="DJ46" t="e">
        <f>#REF!</f>
        <v>#REF!</v>
      </c>
      <c r="DK46" t="e">
        <f>#REF!</f>
        <v>#REF!</v>
      </c>
      <c r="DL46" t="e">
        <f>#REF!</f>
        <v>#REF!</v>
      </c>
      <c r="DM46" t="e">
        <f>#REF!</f>
        <v>#REF!</v>
      </c>
      <c r="DN46" t="e">
        <f>#REF!</f>
        <v>#REF!</v>
      </c>
      <c r="DO46" t="e">
        <f>#REF!</f>
        <v>#REF!</v>
      </c>
      <c r="DP46" t="e">
        <f>#REF!</f>
        <v>#REF!</v>
      </c>
      <c r="DQ46" t="e">
        <f>#REF!</f>
        <v>#REF!</v>
      </c>
      <c r="DR46" t="e">
        <f>#REF!</f>
        <v>#REF!</v>
      </c>
      <c r="DS46" t="e">
        <f>#REF!</f>
        <v>#REF!</v>
      </c>
      <c r="DT46" t="e">
        <f>#REF!</f>
        <v>#REF!</v>
      </c>
      <c r="DU46" t="e">
        <f>#REF!</f>
        <v>#REF!</v>
      </c>
      <c r="DV46" t="e">
        <f>#REF!</f>
        <v>#REF!</v>
      </c>
      <c r="DW46" t="e">
        <f>#REF!</f>
        <v>#REF!</v>
      </c>
      <c r="DX46" t="e">
        <f>#REF!</f>
        <v>#REF!</v>
      </c>
      <c r="DY46" t="e">
        <f>#REF!</f>
        <v>#REF!</v>
      </c>
      <c r="DZ46" t="e">
        <f>#REF!</f>
        <v>#REF!</v>
      </c>
      <c r="EA46" t="e">
        <f>#REF!</f>
        <v>#REF!</v>
      </c>
      <c r="EB46" t="e">
        <f>#REF!</f>
        <v>#REF!</v>
      </c>
      <c r="EC46" t="e">
        <f>#REF!</f>
        <v>#REF!</v>
      </c>
      <c r="ED46" t="e">
        <f>#REF!</f>
        <v>#REF!</v>
      </c>
      <c r="EE46" t="e">
        <f>#REF!</f>
        <v>#REF!</v>
      </c>
      <c r="EF46" t="e">
        <f>#REF!</f>
        <v>#REF!</v>
      </c>
      <c r="EG46" t="e">
        <f>#REF!</f>
        <v>#REF!</v>
      </c>
      <c r="EH46" t="e">
        <f>#REF!</f>
        <v>#REF!</v>
      </c>
      <c r="EI46" t="e">
        <f>#REF!</f>
        <v>#REF!</v>
      </c>
      <c r="EJ46" t="e">
        <f>#REF!</f>
        <v>#REF!</v>
      </c>
      <c r="EK46" t="e">
        <f>#REF!</f>
        <v>#REF!</v>
      </c>
      <c r="EL46" t="e">
        <f>#REF!</f>
        <v>#REF!</v>
      </c>
      <c r="EM46" t="e">
        <f>#REF!</f>
        <v>#REF!</v>
      </c>
      <c r="EN46" t="e">
        <f>#REF!</f>
        <v>#REF!</v>
      </c>
      <c r="EO46" t="e">
        <f>#REF!</f>
        <v>#REF!</v>
      </c>
      <c r="EP46" t="e">
        <f>#REF!</f>
        <v>#REF!</v>
      </c>
      <c r="EQ46" t="e">
        <f>#REF!</f>
        <v>#REF!</v>
      </c>
      <c r="ER46" t="e">
        <f>#REF!</f>
        <v>#REF!</v>
      </c>
      <c r="ES46" t="e">
        <f>#REF!</f>
        <v>#REF!</v>
      </c>
      <c r="ET46" t="e">
        <f>#REF!</f>
        <v>#REF!</v>
      </c>
      <c r="EU46" t="e">
        <f>#REF!</f>
        <v>#REF!</v>
      </c>
      <c r="EV46" t="e">
        <f>#REF!</f>
        <v>#REF!</v>
      </c>
      <c r="EW46" t="e">
        <f>#REF!</f>
        <v>#REF!</v>
      </c>
      <c r="EX46" t="e">
        <f>#REF!</f>
        <v>#REF!</v>
      </c>
      <c r="EY46" t="e">
        <f>#REF!</f>
        <v>#REF!</v>
      </c>
      <c r="EZ46" t="e">
        <f>#REF!</f>
        <v>#REF!</v>
      </c>
      <c r="FA46" t="e">
        <f>#REF!</f>
        <v>#REF!</v>
      </c>
      <c r="FB46" t="e">
        <f>#REF!</f>
        <v>#REF!</v>
      </c>
      <c r="FC46" t="e">
        <f>#REF!</f>
        <v>#REF!</v>
      </c>
      <c r="FD46" t="e">
        <f>#REF!</f>
        <v>#REF!</v>
      </c>
      <c r="FE46" t="e">
        <f>#REF!</f>
        <v>#REF!</v>
      </c>
      <c r="FF46" t="e">
        <f>#REF!</f>
        <v>#REF!</v>
      </c>
      <c r="FG46" t="e">
        <f>#REF!</f>
        <v>#REF!</v>
      </c>
      <c r="FH46" t="e">
        <f>#REF!</f>
        <v>#REF!</v>
      </c>
      <c r="FI46" t="e">
        <f>#REF!</f>
        <v>#REF!</v>
      </c>
      <c r="FJ46" t="e">
        <f>#REF!</f>
        <v>#REF!</v>
      </c>
      <c r="FK46" t="e">
        <f>#REF!</f>
        <v>#REF!</v>
      </c>
      <c r="FL46" t="e">
        <f>#REF!</f>
        <v>#REF!</v>
      </c>
      <c r="FM46" t="e">
        <f>#REF!</f>
        <v>#REF!</v>
      </c>
      <c r="FN46" t="e">
        <f>#REF!</f>
        <v>#REF!</v>
      </c>
    </row>
    <row r="47" spans="1:170" ht="15" x14ac:dyDescent="0.25">
      <c r="A47" s="619">
        <v>1</v>
      </c>
      <c r="B47" s="133" t="e">
        <f>RIGHT(#REF!,LEN(#REF!)-(FIND("Standards",#REF!,1)+9))</f>
        <v>#REF!</v>
      </c>
      <c r="C47" s="620" t="e">
        <f>#REF!</f>
        <v>#REF!</v>
      </c>
      <c r="D47" s="620">
        <v>72702</v>
      </c>
      <c r="E47" s="621" t="e">
        <f>#REF!</f>
        <v>#REF!</v>
      </c>
      <c r="F47" s="621" t="e">
        <f>#REF!</f>
        <v>#REF!</v>
      </c>
      <c r="G47" s="619" t="e">
        <f>#REF!</f>
        <v>#REF!</v>
      </c>
      <c r="H47" s="619" t="e">
        <f>#REF!</f>
        <v>#REF!</v>
      </c>
      <c r="I47" s="621" t="e">
        <f>#REF!</f>
        <v>#REF!</v>
      </c>
      <c r="J47" s="619" t="e">
        <f>#REF!</f>
        <v>#REF!</v>
      </c>
      <c r="K47" s="621" t="e">
        <f>#REF!</f>
        <v>#REF!</v>
      </c>
      <c r="L47" s="622" t="e">
        <f>#REF!</f>
        <v>#REF!</v>
      </c>
      <c r="M47" s="622" t="e">
        <f>#REF!</f>
        <v>#REF!</v>
      </c>
      <c r="N47" t="e">
        <f>#REF!</f>
        <v>#REF!</v>
      </c>
      <c r="O47" t="e">
        <f>#REF!</f>
        <v>#REF!</v>
      </c>
      <c r="P47" t="e">
        <f>#REF!</f>
        <v>#REF!</v>
      </c>
      <c r="Q47" s="136" t="e">
        <f>#REF!</f>
        <v>#REF!</v>
      </c>
      <c r="R47" s="136" t="e">
        <f>#REF!</f>
        <v>#REF!</v>
      </c>
      <c r="S47" s="136" t="e">
        <f>#REF!</f>
        <v>#REF!</v>
      </c>
      <c r="T47" s="136" t="e">
        <f>#REF!</f>
        <v>#REF!</v>
      </c>
      <c r="U47" s="136" t="e">
        <f>#REF!</f>
        <v>#REF!</v>
      </c>
      <c r="V47" s="136" t="e">
        <f>#REF!</f>
        <v>#REF!</v>
      </c>
      <c r="W47" s="136" t="e">
        <f>#REF!</f>
        <v>#REF!</v>
      </c>
      <c r="X47" s="136" t="e">
        <f>#REF!</f>
        <v>#REF!</v>
      </c>
      <c r="Y47" s="136" t="e">
        <f>#REF!</f>
        <v>#REF!</v>
      </c>
      <c r="Z47" s="136" t="e">
        <f>#REF!</f>
        <v>#REF!</v>
      </c>
      <c r="AA47" s="136" t="e">
        <f>#REF!</f>
        <v>#REF!</v>
      </c>
      <c r="AB47" s="136" t="e">
        <f>#REF!</f>
        <v>#REF!</v>
      </c>
      <c r="AC47" s="136" t="e">
        <f>#REF!</f>
        <v>#REF!</v>
      </c>
      <c r="AD47" s="136" t="e">
        <f>#REF!</f>
        <v>#REF!</v>
      </c>
      <c r="AE47" s="136" t="e">
        <f>#REF!</f>
        <v>#REF!</v>
      </c>
      <c r="AF47" s="136" t="e">
        <f>#REF!</f>
        <v>#REF!</v>
      </c>
      <c r="AG47" s="136" t="e">
        <f>#REF!</f>
        <v>#REF!</v>
      </c>
      <c r="AH47" s="136" t="e">
        <f>#REF!</f>
        <v>#REF!</v>
      </c>
      <c r="AI47" s="136" t="e">
        <f>#REF!</f>
        <v>#REF!</v>
      </c>
      <c r="AJ47" s="136" t="e">
        <f>#REF!</f>
        <v>#REF!</v>
      </c>
      <c r="AK47" s="136" t="e">
        <f>#REF!</f>
        <v>#REF!</v>
      </c>
      <c r="AL47" s="136"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s="137" t="e">
        <f>#REF!</f>
        <v>#REF!</v>
      </c>
      <c r="BO47" s="137" t="e">
        <f>#REF!</f>
        <v>#REF!</v>
      </c>
      <c r="BP47" s="137" t="e">
        <f>#REF!</f>
        <v>#REF!</v>
      </c>
      <c r="BQ47" s="137" t="e">
        <f>#REF!</f>
        <v>#REF!</v>
      </c>
      <c r="BR47" s="137" t="e">
        <f>#REF!</f>
        <v>#REF!</v>
      </c>
      <c r="BS47" s="137" t="e">
        <f>#REF!</f>
        <v>#REF!</v>
      </c>
      <c r="BT47" s="137" t="e">
        <f>#REF!</f>
        <v>#REF!</v>
      </c>
      <c r="BU47" s="137" t="e">
        <f>#REF!</f>
        <v>#REF!</v>
      </c>
      <c r="BV47" s="137" t="e">
        <f>#REF!</f>
        <v>#REF!</v>
      </c>
      <c r="BW47" s="137" t="e">
        <f>#REF!</f>
        <v>#REF!</v>
      </c>
      <c r="BX47" s="137" t="e">
        <f>#REF!</f>
        <v>#REF!</v>
      </c>
      <c r="BY47" s="137" t="e">
        <f>#REF!</f>
        <v>#REF!</v>
      </c>
      <c r="BZ47" s="137" t="e">
        <f>#REF!</f>
        <v>#REF!</v>
      </c>
      <c r="CA47" s="137" t="e">
        <f>#REF!</f>
        <v>#REF!</v>
      </c>
      <c r="CB47" t="e">
        <f>#REF!</f>
        <v>#REF!</v>
      </c>
      <c r="CC47" t="e">
        <f>#REF!</f>
        <v>#REF!</v>
      </c>
      <c r="CD47" t="e">
        <f>#REF!</f>
        <v>#REF!</v>
      </c>
      <c r="CE47" t="e">
        <f>#REF!</f>
        <v>#REF!</v>
      </c>
      <c r="CF47" t="e">
        <f>#REF!</f>
        <v>#REF!</v>
      </c>
      <c r="CG47" t="e">
        <f>#REF!</f>
        <v>#REF!</v>
      </c>
      <c r="CH47" t="e">
        <f>#REF!</f>
        <v>#REF!</v>
      </c>
      <c r="CI47" t="e">
        <f>#REF!</f>
        <v>#REF!</v>
      </c>
      <c r="CJ47" s="136" t="e">
        <f>#REF!</f>
        <v>#REF!</v>
      </c>
      <c r="CK47" s="136" t="e">
        <f>#REF!</f>
        <v>#REF!</v>
      </c>
      <c r="CL47">
        <v>0</v>
      </c>
      <c r="CM47">
        <v>0</v>
      </c>
      <c r="CN47">
        <v>0</v>
      </c>
      <c r="CO47">
        <v>0</v>
      </c>
      <c r="CP47" t="e">
        <f>#REF!</f>
        <v>#REF!</v>
      </c>
      <c r="CQ47" t="e">
        <f>#REF!</f>
        <v>#REF!</v>
      </c>
      <c r="CR47" t="e">
        <f>#REF!</f>
        <v>#REF!</v>
      </c>
      <c r="CS47" t="e">
        <f>#REF!</f>
        <v>#REF!</v>
      </c>
      <c r="CT47" t="e">
        <f>#REF!</f>
        <v>#REF!</v>
      </c>
      <c r="CU47" t="e">
        <f>#REF!</f>
        <v>#REF!</v>
      </c>
      <c r="CV47" t="e">
        <f>#REF!</f>
        <v>#REF!</v>
      </c>
      <c r="CW47" t="e">
        <f>#REF!</f>
        <v>#REF!</v>
      </c>
      <c r="CX47" t="e">
        <f>#REF!</f>
        <v>#REF!</v>
      </c>
      <c r="CY47" t="e">
        <f>#REF!</f>
        <v>#REF!</v>
      </c>
      <c r="CZ47" t="e">
        <f>#REF!</f>
        <v>#REF!</v>
      </c>
      <c r="DA47" t="e">
        <f>#REF!</f>
        <v>#REF!</v>
      </c>
      <c r="DB47" t="e">
        <f>#REF!</f>
        <v>#REF!</v>
      </c>
      <c r="DC47" t="e">
        <f>#REF!</f>
        <v>#REF!</v>
      </c>
      <c r="DD47" t="e">
        <f>#REF!</f>
        <v>#REF!</v>
      </c>
      <c r="DE47" t="e">
        <f>#REF!</f>
        <v>#REF!</v>
      </c>
      <c r="DF47" t="e">
        <f>#REF!</f>
        <v>#REF!</v>
      </c>
      <c r="DG47" t="e">
        <f>#REF!</f>
        <v>#REF!</v>
      </c>
      <c r="DH47" t="e">
        <f>#REF!</f>
        <v>#REF!</v>
      </c>
      <c r="DI47" t="e">
        <f>#REF!</f>
        <v>#REF!</v>
      </c>
      <c r="DJ47" t="e">
        <f>#REF!</f>
        <v>#REF!</v>
      </c>
      <c r="DK47" t="e">
        <f>#REF!</f>
        <v>#REF!</v>
      </c>
      <c r="DL47" t="e">
        <f>#REF!</f>
        <v>#REF!</v>
      </c>
      <c r="DM47" t="e">
        <f>#REF!</f>
        <v>#REF!</v>
      </c>
      <c r="DN47" t="e">
        <f>#REF!</f>
        <v>#REF!</v>
      </c>
      <c r="DO47" t="e">
        <f>#REF!</f>
        <v>#REF!</v>
      </c>
      <c r="DP47" t="e">
        <f>#REF!</f>
        <v>#REF!</v>
      </c>
      <c r="DQ47" t="e">
        <f>#REF!</f>
        <v>#REF!</v>
      </c>
      <c r="DR47" t="e">
        <f>#REF!</f>
        <v>#REF!</v>
      </c>
      <c r="DS47" t="e">
        <f>#REF!</f>
        <v>#REF!</v>
      </c>
      <c r="DT47" t="e">
        <f>#REF!</f>
        <v>#REF!</v>
      </c>
      <c r="DU47" t="e">
        <f>#REF!</f>
        <v>#REF!</v>
      </c>
      <c r="DV47" t="e">
        <f>#REF!</f>
        <v>#REF!</v>
      </c>
      <c r="DW47" t="e">
        <f>#REF!</f>
        <v>#REF!</v>
      </c>
      <c r="DX47" t="e">
        <f>#REF!</f>
        <v>#REF!</v>
      </c>
      <c r="DY47" t="e">
        <f>#REF!</f>
        <v>#REF!</v>
      </c>
      <c r="DZ47" t="e">
        <f>#REF!</f>
        <v>#REF!</v>
      </c>
      <c r="EA47" t="e">
        <f>#REF!</f>
        <v>#REF!</v>
      </c>
      <c r="EB47" t="e">
        <f>#REF!</f>
        <v>#REF!</v>
      </c>
      <c r="EC47" t="e">
        <f>#REF!</f>
        <v>#REF!</v>
      </c>
      <c r="ED47" t="e">
        <f>#REF!</f>
        <v>#REF!</v>
      </c>
      <c r="EE47" t="e">
        <f>#REF!</f>
        <v>#REF!</v>
      </c>
      <c r="EF47" t="e">
        <f>#REF!</f>
        <v>#REF!</v>
      </c>
      <c r="EG47" t="e">
        <f>#REF!</f>
        <v>#REF!</v>
      </c>
      <c r="EH47" t="e">
        <f>#REF!</f>
        <v>#REF!</v>
      </c>
      <c r="EI47" t="e">
        <f>#REF!</f>
        <v>#REF!</v>
      </c>
      <c r="EJ47" t="e">
        <f>#REF!</f>
        <v>#REF!</v>
      </c>
      <c r="EK47" t="e">
        <f>#REF!</f>
        <v>#REF!</v>
      </c>
      <c r="EL47" t="e">
        <f>#REF!</f>
        <v>#REF!</v>
      </c>
      <c r="EM47" t="e">
        <f>#REF!</f>
        <v>#REF!</v>
      </c>
      <c r="EN47" t="e">
        <f>#REF!</f>
        <v>#REF!</v>
      </c>
      <c r="EO47" t="e">
        <f>#REF!</f>
        <v>#REF!</v>
      </c>
      <c r="EP47" t="e">
        <f>#REF!</f>
        <v>#REF!</v>
      </c>
      <c r="EQ47" t="e">
        <f>#REF!</f>
        <v>#REF!</v>
      </c>
      <c r="ER47" t="e">
        <f>#REF!</f>
        <v>#REF!</v>
      </c>
      <c r="ES47" t="e">
        <f>#REF!</f>
        <v>#REF!</v>
      </c>
      <c r="ET47" t="e">
        <f>#REF!</f>
        <v>#REF!</v>
      </c>
      <c r="EU47" t="e">
        <f>#REF!</f>
        <v>#REF!</v>
      </c>
      <c r="EV47" t="e">
        <f>#REF!</f>
        <v>#REF!</v>
      </c>
      <c r="EW47" t="e">
        <f>#REF!</f>
        <v>#REF!</v>
      </c>
      <c r="EX47" t="e">
        <f>#REF!</f>
        <v>#REF!</v>
      </c>
      <c r="EY47" t="e">
        <f>#REF!</f>
        <v>#REF!</v>
      </c>
      <c r="EZ47" t="e">
        <f>#REF!</f>
        <v>#REF!</v>
      </c>
      <c r="FA47" t="e">
        <f>#REF!</f>
        <v>#REF!</v>
      </c>
      <c r="FB47" t="e">
        <f>#REF!</f>
        <v>#REF!</v>
      </c>
      <c r="FC47" t="e">
        <f>#REF!</f>
        <v>#REF!</v>
      </c>
      <c r="FD47" t="e">
        <f>#REF!</f>
        <v>#REF!</v>
      </c>
      <c r="FE47" t="e">
        <f>#REF!</f>
        <v>#REF!</v>
      </c>
      <c r="FF47" t="e">
        <f>#REF!</f>
        <v>#REF!</v>
      </c>
      <c r="FG47" t="e">
        <f>#REF!</f>
        <v>#REF!</v>
      </c>
      <c r="FH47" t="e">
        <f>#REF!</f>
        <v>#REF!</v>
      </c>
      <c r="FI47" t="e">
        <f>#REF!</f>
        <v>#REF!</v>
      </c>
      <c r="FJ47" t="e">
        <f>#REF!</f>
        <v>#REF!</v>
      </c>
      <c r="FK47" t="e">
        <f>#REF!</f>
        <v>#REF!</v>
      </c>
      <c r="FL47" t="e">
        <f>#REF!</f>
        <v>#REF!</v>
      </c>
      <c r="FM47" t="e">
        <f>#REF!</f>
        <v>#REF!</v>
      </c>
      <c r="FN47" t="e">
        <f>#REF!</f>
        <v>#REF!</v>
      </c>
    </row>
    <row r="48" spans="1:170" ht="15" x14ac:dyDescent="0.25">
      <c r="A48" s="619">
        <v>1</v>
      </c>
      <c r="B48" s="133" t="e">
        <f>RIGHT(#REF!,LEN(#REF!)-(FIND("Standards",#REF!,1)+9))</f>
        <v>#REF!</v>
      </c>
      <c r="C48" s="620" t="e">
        <f>#REF!</f>
        <v>#REF!</v>
      </c>
      <c r="D48" s="620">
        <v>72703</v>
      </c>
      <c r="E48" s="621" t="e">
        <f>#REF!</f>
        <v>#REF!</v>
      </c>
      <c r="F48" s="621" t="e">
        <f>#REF!</f>
        <v>#REF!</v>
      </c>
      <c r="G48" s="619" t="e">
        <f>#REF!</f>
        <v>#REF!</v>
      </c>
      <c r="H48" s="619" t="e">
        <f>#REF!</f>
        <v>#REF!</v>
      </c>
      <c r="I48" s="621" t="e">
        <f>#REF!</f>
        <v>#REF!</v>
      </c>
      <c r="J48" s="619" t="e">
        <f>#REF!</f>
        <v>#REF!</v>
      </c>
      <c r="K48" s="621" t="e">
        <f>#REF!</f>
        <v>#REF!</v>
      </c>
      <c r="L48" s="622" t="e">
        <f>#REF!</f>
        <v>#REF!</v>
      </c>
      <c r="M48" s="622" t="e">
        <f>#REF!</f>
        <v>#REF!</v>
      </c>
      <c r="N48" t="e">
        <f>#REF!</f>
        <v>#REF!</v>
      </c>
      <c r="O48" t="e">
        <f>#REF!</f>
        <v>#REF!</v>
      </c>
      <c r="P48" t="e">
        <f>#REF!</f>
        <v>#REF!</v>
      </c>
      <c r="Q48" s="136" t="e">
        <f>#REF!</f>
        <v>#REF!</v>
      </c>
      <c r="R48" s="136" t="e">
        <f>#REF!</f>
        <v>#REF!</v>
      </c>
      <c r="S48" s="136" t="e">
        <f>#REF!</f>
        <v>#REF!</v>
      </c>
      <c r="T48" s="136" t="e">
        <f>#REF!</f>
        <v>#REF!</v>
      </c>
      <c r="U48" s="136" t="e">
        <f>#REF!</f>
        <v>#REF!</v>
      </c>
      <c r="V48" s="136" t="e">
        <f>#REF!</f>
        <v>#REF!</v>
      </c>
      <c r="W48" s="136" t="e">
        <f>#REF!</f>
        <v>#REF!</v>
      </c>
      <c r="X48" s="136" t="e">
        <f>#REF!</f>
        <v>#REF!</v>
      </c>
      <c r="Y48" s="136" t="e">
        <f>#REF!</f>
        <v>#REF!</v>
      </c>
      <c r="Z48" s="136" t="e">
        <f>#REF!</f>
        <v>#REF!</v>
      </c>
      <c r="AA48" s="136" t="e">
        <f>#REF!</f>
        <v>#REF!</v>
      </c>
      <c r="AB48" s="136" t="e">
        <f>#REF!</f>
        <v>#REF!</v>
      </c>
      <c r="AC48" s="136" t="e">
        <f>#REF!</f>
        <v>#REF!</v>
      </c>
      <c r="AD48" s="136" t="e">
        <f>#REF!</f>
        <v>#REF!</v>
      </c>
      <c r="AE48" s="136" t="e">
        <f>#REF!</f>
        <v>#REF!</v>
      </c>
      <c r="AF48" s="136" t="e">
        <f>#REF!</f>
        <v>#REF!</v>
      </c>
      <c r="AG48" s="136" t="e">
        <f>#REF!</f>
        <v>#REF!</v>
      </c>
      <c r="AH48" s="136" t="e">
        <f>#REF!</f>
        <v>#REF!</v>
      </c>
      <c r="AI48" s="136" t="e">
        <f>#REF!</f>
        <v>#REF!</v>
      </c>
      <c r="AJ48" s="136" t="e">
        <f>#REF!</f>
        <v>#REF!</v>
      </c>
      <c r="AK48" s="136" t="e">
        <f>#REF!</f>
        <v>#REF!</v>
      </c>
      <c r="AL48" s="136"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s="137" t="e">
        <f>#REF!</f>
        <v>#REF!</v>
      </c>
      <c r="BO48" s="137" t="e">
        <f>#REF!</f>
        <v>#REF!</v>
      </c>
      <c r="BP48" s="137" t="e">
        <f>#REF!</f>
        <v>#REF!</v>
      </c>
      <c r="BQ48" s="137" t="e">
        <f>#REF!</f>
        <v>#REF!</v>
      </c>
      <c r="BR48" s="137" t="e">
        <f>#REF!</f>
        <v>#REF!</v>
      </c>
      <c r="BS48" s="137" t="e">
        <f>#REF!</f>
        <v>#REF!</v>
      </c>
      <c r="BT48" s="137" t="e">
        <f>#REF!</f>
        <v>#REF!</v>
      </c>
      <c r="BU48" s="137" t="e">
        <f>#REF!</f>
        <v>#REF!</v>
      </c>
      <c r="BV48" s="137" t="e">
        <f>#REF!</f>
        <v>#REF!</v>
      </c>
      <c r="BW48" s="137" t="e">
        <f>#REF!</f>
        <v>#REF!</v>
      </c>
      <c r="BX48" s="137" t="e">
        <f>#REF!</f>
        <v>#REF!</v>
      </c>
      <c r="BY48" s="137" t="e">
        <f>#REF!</f>
        <v>#REF!</v>
      </c>
      <c r="BZ48" s="137" t="e">
        <f>#REF!</f>
        <v>#REF!</v>
      </c>
      <c r="CA48" s="137" t="e">
        <f>#REF!</f>
        <v>#REF!</v>
      </c>
      <c r="CB48" t="e">
        <f>#REF!</f>
        <v>#REF!</v>
      </c>
      <c r="CC48" t="e">
        <f>#REF!</f>
        <v>#REF!</v>
      </c>
      <c r="CD48" t="e">
        <f>#REF!</f>
        <v>#REF!</v>
      </c>
      <c r="CE48" t="e">
        <f>#REF!</f>
        <v>#REF!</v>
      </c>
      <c r="CF48" t="e">
        <f>#REF!</f>
        <v>#REF!</v>
      </c>
      <c r="CG48" t="e">
        <f>#REF!</f>
        <v>#REF!</v>
      </c>
      <c r="CH48" t="e">
        <f>#REF!</f>
        <v>#REF!</v>
      </c>
      <c r="CI48" t="e">
        <f>#REF!</f>
        <v>#REF!</v>
      </c>
      <c r="CJ48" s="136" t="e">
        <f>#REF!</f>
        <v>#REF!</v>
      </c>
      <c r="CK48" s="136" t="e">
        <f>#REF!</f>
        <v>#REF!</v>
      </c>
      <c r="CL48">
        <v>0</v>
      </c>
      <c r="CM48">
        <v>0</v>
      </c>
      <c r="CN48">
        <v>0</v>
      </c>
      <c r="CO48">
        <v>0</v>
      </c>
      <c r="CP48" t="e">
        <f>#REF!</f>
        <v>#REF!</v>
      </c>
      <c r="CQ48" t="e">
        <f>#REF!</f>
        <v>#REF!</v>
      </c>
      <c r="CR48" t="e">
        <f>#REF!</f>
        <v>#REF!</v>
      </c>
      <c r="CS48" t="e">
        <f>#REF!</f>
        <v>#REF!</v>
      </c>
      <c r="CT48" t="e">
        <f>#REF!</f>
        <v>#REF!</v>
      </c>
      <c r="CU48" t="e">
        <f>#REF!</f>
        <v>#REF!</v>
      </c>
      <c r="CV48" t="e">
        <f>#REF!</f>
        <v>#REF!</v>
      </c>
      <c r="CW48" t="e">
        <f>#REF!</f>
        <v>#REF!</v>
      </c>
      <c r="CX48" t="e">
        <f>#REF!</f>
        <v>#REF!</v>
      </c>
      <c r="CY48" t="e">
        <f>#REF!</f>
        <v>#REF!</v>
      </c>
      <c r="CZ48" t="e">
        <f>#REF!</f>
        <v>#REF!</v>
      </c>
      <c r="DA48" t="e">
        <f>#REF!</f>
        <v>#REF!</v>
      </c>
      <c r="DB48" t="e">
        <f>#REF!</f>
        <v>#REF!</v>
      </c>
      <c r="DC48" t="e">
        <f>#REF!</f>
        <v>#REF!</v>
      </c>
      <c r="DD48" t="e">
        <f>#REF!</f>
        <v>#REF!</v>
      </c>
      <c r="DE48" t="e">
        <f>#REF!</f>
        <v>#REF!</v>
      </c>
      <c r="DF48" t="e">
        <f>#REF!</f>
        <v>#REF!</v>
      </c>
      <c r="DG48" t="e">
        <f>#REF!</f>
        <v>#REF!</v>
      </c>
      <c r="DH48" t="e">
        <f>#REF!</f>
        <v>#REF!</v>
      </c>
      <c r="DI48" t="e">
        <f>#REF!</f>
        <v>#REF!</v>
      </c>
      <c r="DJ48" t="e">
        <f>#REF!</f>
        <v>#REF!</v>
      </c>
      <c r="DK48" t="e">
        <f>#REF!</f>
        <v>#REF!</v>
      </c>
      <c r="DL48" t="e">
        <f>#REF!</f>
        <v>#REF!</v>
      </c>
      <c r="DM48" t="e">
        <f>#REF!</f>
        <v>#REF!</v>
      </c>
      <c r="DN48" t="e">
        <f>#REF!</f>
        <v>#REF!</v>
      </c>
      <c r="DO48" t="e">
        <f>#REF!</f>
        <v>#REF!</v>
      </c>
      <c r="DP48" t="e">
        <f>#REF!</f>
        <v>#REF!</v>
      </c>
      <c r="DQ48" t="e">
        <f>#REF!</f>
        <v>#REF!</v>
      </c>
      <c r="DR48" t="e">
        <f>#REF!</f>
        <v>#REF!</v>
      </c>
      <c r="DS48" t="e">
        <f>#REF!</f>
        <v>#REF!</v>
      </c>
      <c r="DT48" t="e">
        <f>#REF!</f>
        <v>#REF!</v>
      </c>
      <c r="DU48" t="e">
        <f>#REF!</f>
        <v>#REF!</v>
      </c>
      <c r="DV48" t="e">
        <f>#REF!</f>
        <v>#REF!</v>
      </c>
      <c r="DW48" t="e">
        <f>#REF!</f>
        <v>#REF!</v>
      </c>
      <c r="DX48" t="e">
        <f>#REF!</f>
        <v>#REF!</v>
      </c>
      <c r="DY48" t="e">
        <f>#REF!</f>
        <v>#REF!</v>
      </c>
      <c r="DZ48" t="e">
        <f>#REF!</f>
        <v>#REF!</v>
      </c>
      <c r="EA48" t="e">
        <f>#REF!</f>
        <v>#REF!</v>
      </c>
      <c r="EB48" t="e">
        <f>#REF!</f>
        <v>#REF!</v>
      </c>
      <c r="EC48" t="e">
        <f>#REF!</f>
        <v>#REF!</v>
      </c>
      <c r="ED48" t="e">
        <f>#REF!</f>
        <v>#REF!</v>
      </c>
      <c r="EE48" t="e">
        <f>#REF!</f>
        <v>#REF!</v>
      </c>
      <c r="EF48" t="e">
        <f>#REF!</f>
        <v>#REF!</v>
      </c>
      <c r="EG48" t="e">
        <f>#REF!</f>
        <v>#REF!</v>
      </c>
      <c r="EH48" t="e">
        <f>#REF!</f>
        <v>#REF!</v>
      </c>
      <c r="EI48" t="e">
        <f>#REF!</f>
        <v>#REF!</v>
      </c>
      <c r="EJ48" t="e">
        <f>#REF!</f>
        <v>#REF!</v>
      </c>
      <c r="EK48" t="e">
        <f>#REF!</f>
        <v>#REF!</v>
      </c>
      <c r="EL48" t="e">
        <f>#REF!</f>
        <v>#REF!</v>
      </c>
      <c r="EM48" t="e">
        <f>#REF!</f>
        <v>#REF!</v>
      </c>
      <c r="EN48" t="e">
        <f>#REF!</f>
        <v>#REF!</v>
      </c>
      <c r="EO48" t="e">
        <f>#REF!</f>
        <v>#REF!</v>
      </c>
      <c r="EP48" t="e">
        <f>#REF!</f>
        <v>#REF!</v>
      </c>
      <c r="EQ48" t="e">
        <f>#REF!</f>
        <v>#REF!</v>
      </c>
      <c r="ER48" t="e">
        <f>#REF!</f>
        <v>#REF!</v>
      </c>
      <c r="ES48" t="e">
        <f>#REF!</f>
        <v>#REF!</v>
      </c>
      <c r="ET48" t="e">
        <f>#REF!</f>
        <v>#REF!</v>
      </c>
      <c r="EU48" t="e">
        <f>#REF!</f>
        <v>#REF!</v>
      </c>
      <c r="EV48" t="e">
        <f>#REF!</f>
        <v>#REF!</v>
      </c>
      <c r="EW48" t="e">
        <f>#REF!</f>
        <v>#REF!</v>
      </c>
      <c r="EX48" t="e">
        <f>#REF!</f>
        <v>#REF!</v>
      </c>
      <c r="EY48" t="e">
        <f>#REF!</f>
        <v>#REF!</v>
      </c>
      <c r="EZ48" t="e">
        <f>#REF!</f>
        <v>#REF!</v>
      </c>
      <c r="FA48" t="e">
        <f>#REF!</f>
        <v>#REF!</v>
      </c>
      <c r="FB48" t="e">
        <f>#REF!</f>
        <v>#REF!</v>
      </c>
      <c r="FC48" t="e">
        <f>#REF!</f>
        <v>#REF!</v>
      </c>
      <c r="FD48" t="e">
        <f>#REF!</f>
        <v>#REF!</v>
      </c>
      <c r="FE48" t="e">
        <f>#REF!</f>
        <v>#REF!</v>
      </c>
      <c r="FF48" t="e">
        <f>#REF!</f>
        <v>#REF!</v>
      </c>
      <c r="FG48" t="e">
        <f>#REF!</f>
        <v>#REF!</v>
      </c>
      <c r="FH48" t="e">
        <f>#REF!</f>
        <v>#REF!</v>
      </c>
      <c r="FI48" t="e">
        <f>#REF!</f>
        <v>#REF!</v>
      </c>
      <c r="FJ48" t="e">
        <f>#REF!</f>
        <v>#REF!</v>
      </c>
      <c r="FK48" t="e">
        <f>#REF!</f>
        <v>#REF!</v>
      </c>
      <c r="FL48" t="e">
        <f>#REF!</f>
        <v>#REF!</v>
      </c>
      <c r="FM48" t="e">
        <f>#REF!</f>
        <v>#REF!</v>
      </c>
      <c r="FN48" t="e">
        <f>#REF!</f>
        <v>#REF!</v>
      </c>
    </row>
    <row r="49" spans="1:170" ht="15" x14ac:dyDescent="0.25">
      <c r="A49" s="619">
        <v>1</v>
      </c>
      <c r="B49" s="133" t="e">
        <f>RIGHT(#REF!,LEN(#REF!)-(FIND("Standards",#REF!,1)+9))</f>
        <v>#REF!</v>
      </c>
      <c r="C49" s="620" t="e">
        <f>#REF!</f>
        <v>#REF!</v>
      </c>
      <c r="D49" s="620">
        <v>72704</v>
      </c>
      <c r="E49" s="621" t="e">
        <f>#REF!</f>
        <v>#REF!</v>
      </c>
      <c r="F49" s="621" t="e">
        <f>#REF!</f>
        <v>#REF!</v>
      </c>
      <c r="G49" s="619" t="e">
        <f>#REF!</f>
        <v>#REF!</v>
      </c>
      <c r="H49" s="619" t="e">
        <f>#REF!</f>
        <v>#REF!</v>
      </c>
      <c r="I49" s="621" t="e">
        <f>#REF!</f>
        <v>#REF!</v>
      </c>
      <c r="J49" s="619" t="e">
        <f>#REF!</f>
        <v>#REF!</v>
      </c>
      <c r="K49" s="621" t="e">
        <f>#REF!</f>
        <v>#REF!</v>
      </c>
      <c r="L49" s="622" t="e">
        <f>#REF!</f>
        <v>#REF!</v>
      </c>
      <c r="M49" s="622" t="e">
        <f>#REF!</f>
        <v>#REF!</v>
      </c>
      <c r="N49" t="e">
        <f>#REF!</f>
        <v>#REF!</v>
      </c>
      <c r="O49" t="e">
        <f>#REF!</f>
        <v>#REF!</v>
      </c>
      <c r="P49" t="e">
        <f>#REF!</f>
        <v>#REF!</v>
      </c>
      <c r="Q49" s="136" t="e">
        <f>#REF!</f>
        <v>#REF!</v>
      </c>
      <c r="R49" s="136" t="e">
        <f>#REF!</f>
        <v>#REF!</v>
      </c>
      <c r="S49" s="136" t="e">
        <f>#REF!</f>
        <v>#REF!</v>
      </c>
      <c r="T49" s="136" t="e">
        <f>#REF!</f>
        <v>#REF!</v>
      </c>
      <c r="U49" s="136" t="e">
        <f>#REF!</f>
        <v>#REF!</v>
      </c>
      <c r="V49" s="136" t="e">
        <f>#REF!</f>
        <v>#REF!</v>
      </c>
      <c r="W49" s="136" t="e">
        <f>#REF!</f>
        <v>#REF!</v>
      </c>
      <c r="X49" s="136" t="e">
        <f>#REF!</f>
        <v>#REF!</v>
      </c>
      <c r="Y49" s="136" t="e">
        <f>#REF!</f>
        <v>#REF!</v>
      </c>
      <c r="Z49" s="136" t="e">
        <f>#REF!</f>
        <v>#REF!</v>
      </c>
      <c r="AA49" s="136" t="e">
        <f>#REF!</f>
        <v>#REF!</v>
      </c>
      <c r="AB49" s="136" t="e">
        <f>#REF!</f>
        <v>#REF!</v>
      </c>
      <c r="AC49" s="136" t="e">
        <f>#REF!</f>
        <v>#REF!</v>
      </c>
      <c r="AD49" s="136" t="e">
        <f>#REF!</f>
        <v>#REF!</v>
      </c>
      <c r="AE49" s="136" t="e">
        <f>#REF!</f>
        <v>#REF!</v>
      </c>
      <c r="AF49" s="136" t="e">
        <f>#REF!</f>
        <v>#REF!</v>
      </c>
      <c r="AG49" s="136" t="e">
        <f>#REF!</f>
        <v>#REF!</v>
      </c>
      <c r="AH49" s="136" t="e">
        <f>#REF!</f>
        <v>#REF!</v>
      </c>
      <c r="AI49" s="136" t="e">
        <f>#REF!</f>
        <v>#REF!</v>
      </c>
      <c r="AJ49" s="136" t="e">
        <f>#REF!</f>
        <v>#REF!</v>
      </c>
      <c r="AK49" s="136" t="e">
        <f>#REF!</f>
        <v>#REF!</v>
      </c>
      <c r="AL49" s="136"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s="137" t="e">
        <f>#REF!</f>
        <v>#REF!</v>
      </c>
      <c r="BO49" s="137" t="e">
        <f>#REF!</f>
        <v>#REF!</v>
      </c>
      <c r="BP49" s="137" t="e">
        <f>#REF!</f>
        <v>#REF!</v>
      </c>
      <c r="BQ49" s="137" t="e">
        <f>#REF!</f>
        <v>#REF!</v>
      </c>
      <c r="BR49" s="137" t="e">
        <f>#REF!</f>
        <v>#REF!</v>
      </c>
      <c r="BS49" s="137" t="e">
        <f>#REF!</f>
        <v>#REF!</v>
      </c>
      <c r="BT49" s="137" t="e">
        <f>#REF!</f>
        <v>#REF!</v>
      </c>
      <c r="BU49" s="137" t="e">
        <f>#REF!</f>
        <v>#REF!</v>
      </c>
      <c r="BV49" s="137" t="e">
        <f>#REF!</f>
        <v>#REF!</v>
      </c>
      <c r="BW49" s="137" t="e">
        <f>#REF!</f>
        <v>#REF!</v>
      </c>
      <c r="BX49" s="137" t="e">
        <f>#REF!</f>
        <v>#REF!</v>
      </c>
      <c r="BY49" s="137" t="e">
        <f>#REF!</f>
        <v>#REF!</v>
      </c>
      <c r="BZ49" s="137" t="e">
        <f>#REF!</f>
        <v>#REF!</v>
      </c>
      <c r="CA49" s="137" t="e">
        <f>#REF!</f>
        <v>#REF!</v>
      </c>
      <c r="CB49" t="e">
        <f>#REF!</f>
        <v>#REF!</v>
      </c>
      <c r="CC49" t="e">
        <f>#REF!</f>
        <v>#REF!</v>
      </c>
      <c r="CD49" t="e">
        <f>#REF!</f>
        <v>#REF!</v>
      </c>
      <c r="CE49" t="e">
        <f>#REF!</f>
        <v>#REF!</v>
      </c>
      <c r="CF49" t="e">
        <f>#REF!</f>
        <v>#REF!</v>
      </c>
      <c r="CG49" t="e">
        <f>#REF!</f>
        <v>#REF!</v>
      </c>
      <c r="CH49" t="e">
        <f>#REF!</f>
        <v>#REF!</v>
      </c>
      <c r="CI49" t="e">
        <f>#REF!</f>
        <v>#REF!</v>
      </c>
      <c r="CJ49" s="136" t="e">
        <f>#REF!</f>
        <v>#REF!</v>
      </c>
      <c r="CK49" s="136" t="e">
        <f>#REF!</f>
        <v>#REF!</v>
      </c>
      <c r="CL49">
        <v>0</v>
      </c>
      <c r="CM49">
        <v>0</v>
      </c>
      <c r="CN49">
        <v>0</v>
      </c>
      <c r="CO49">
        <v>0</v>
      </c>
      <c r="CP49" t="e">
        <f>#REF!</f>
        <v>#REF!</v>
      </c>
      <c r="CQ49" t="e">
        <f>#REF!</f>
        <v>#REF!</v>
      </c>
      <c r="CR49" t="e">
        <f>#REF!</f>
        <v>#REF!</v>
      </c>
      <c r="CS49" t="e">
        <f>#REF!</f>
        <v>#REF!</v>
      </c>
      <c r="CT49" t="e">
        <f>#REF!</f>
        <v>#REF!</v>
      </c>
      <c r="CU49" t="e">
        <f>#REF!</f>
        <v>#REF!</v>
      </c>
      <c r="CV49" t="e">
        <f>#REF!</f>
        <v>#REF!</v>
      </c>
      <c r="CW49" t="e">
        <f>#REF!</f>
        <v>#REF!</v>
      </c>
      <c r="CX49" t="e">
        <f>#REF!</f>
        <v>#REF!</v>
      </c>
      <c r="CY49" t="e">
        <f>#REF!</f>
        <v>#REF!</v>
      </c>
      <c r="CZ49" t="e">
        <f>#REF!</f>
        <v>#REF!</v>
      </c>
      <c r="DA49" t="e">
        <f>#REF!</f>
        <v>#REF!</v>
      </c>
      <c r="DB49" t="e">
        <f>#REF!</f>
        <v>#REF!</v>
      </c>
      <c r="DC49" t="e">
        <f>#REF!</f>
        <v>#REF!</v>
      </c>
      <c r="DD49" t="e">
        <f>#REF!</f>
        <v>#REF!</v>
      </c>
      <c r="DE49" t="e">
        <f>#REF!</f>
        <v>#REF!</v>
      </c>
      <c r="DF49" t="e">
        <f>#REF!</f>
        <v>#REF!</v>
      </c>
      <c r="DG49" t="e">
        <f>#REF!</f>
        <v>#REF!</v>
      </c>
      <c r="DH49" t="e">
        <f>#REF!</f>
        <v>#REF!</v>
      </c>
      <c r="DI49" t="e">
        <f>#REF!</f>
        <v>#REF!</v>
      </c>
      <c r="DJ49" t="e">
        <f>#REF!</f>
        <v>#REF!</v>
      </c>
      <c r="DK49" t="e">
        <f>#REF!</f>
        <v>#REF!</v>
      </c>
      <c r="DL49" t="e">
        <f>#REF!</f>
        <v>#REF!</v>
      </c>
      <c r="DM49" t="e">
        <f>#REF!</f>
        <v>#REF!</v>
      </c>
      <c r="DN49" t="e">
        <f>#REF!</f>
        <v>#REF!</v>
      </c>
      <c r="DO49" t="e">
        <f>#REF!</f>
        <v>#REF!</v>
      </c>
      <c r="DP49" t="e">
        <f>#REF!</f>
        <v>#REF!</v>
      </c>
      <c r="DQ49" t="e">
        <f>#REF!</f>
        <v>#REF!</v>
      </c>
      <c r="DR49" t="e">
        <f>#REF!</f>
        <v>#REF!</v>
      </c>
      <c r="DS49" t="e">
        <f>#REF!</f>
        <v>#REF!</v>
      </c>
      <c r="DT49" t="e">
        <f>#REF!</f>
        <v>#REF!</v>
      </c>
      <c r="DU49" t="e">
        <f>#REF!</f>
        <v>#REF!</v>
      </c>
      <c r="DV49" t="e">
        <f>#REF!</f>
        <v>#REF!</v>
      </c>
      <c r="DW49" t="e">
        <f>#REF!</f>
        <v>#REF!</v>
      </c>
      <c r="DX49" t="e">
        <f>#REF!</f>
        <v>#REF!</v>
      </c>
      <c r="DY49" t="e">
        <f>#REF!</f>
        <v>#REF!</v>
      </c>
      <c r="DZ49" t="e">
        <f>#REF!</f>
        <v>#REF!</v>
      </c>
      <c r="EA49" t="e">
        <f>#REF!</f>
        <v>#REF!</v>
      </c>
      <c r="EB49" t="e">
        <f>#REF!</f>
        <v>#REF!</v>
      </c>
      <c r="EC49" t="e">
        <f>#REF!</f>
        <v>#REF!</v>
      </c>
      <c r="ED49" t="e">
        <f>#REF!</f>
        <v>#REF!</v>
      </c>
      <c r="EE49" t="e">
        <f>#REF!</f>
        <v>#REF!</v>
      </c>
      <c r="EF49" t="e">
        <f>#REF!</f>
        <v>#REF!</v>
      </c>
      <c r="EG49" t="e">
        <f>#REF!</f>
        <v>#REF!</v>
      </c>
      <c r="EH49" t="e">
        <f>#REF!</f>
        <v>#REF!</v>
      </c>
      <c r="EI49" t="e">
        <f>#REF!</f>
        <v>#REF!</v>
      </c>
      <c r="EJ49" t="e">
        <f>#REF!</f>
        <v>#REF!</v>
      </c>
      <c r="EK49" t="e">
        <f>#REF!</f>
        <v>#REF!</v>
      </c>
      <c r="EL49" t="e">
        <f>#REF!</f>
        <v>#REF!</v>
      </c>
      <c r="EM49" t="e">
        <f>#REF!</f>
        <v>#REF!</v>
      </c>
      <c r="EN49" t="e">
        <f>#REF!</f>
        <v>#REF!</v>
      </c>
      <c r="EO49" t="e">
        <f>#REF!</f>
        <v>#REF!</v>
      </c>
      <c r="EP49" t="e">
        <f>#REF!</f>
        <v>#REF!</v>
      </c>
      <c r="EQ49" t="e">
        <f>#REF!</f>
        <v>#REF!</v>
      </c>
      <c r="ER49" t="e">
        <f>#REF!</f>
        <v>#REF!</v>
      </c>
      <c r="ES49" t="e">
        <f>#REF!</f>
        <v>#REF!</v>
      </c>
      <c r="ET49" t="e">
        <f>#REF!</f>
        <v>#REF!</v>
      </c>
      <c r="EU49" t="e">
        <f>#REF!</f>
        <v>#REF!</v>
      </c>
      <c r="EV49" t="e">
        <f>#REF!</f>
        <v>#REF!</v>
      </c>
      <c r="EW49" t="e">
        <f>#REF!</f>
        <v>#REF!</v>
      </c>
      <c r="EX49" t="e">
        <f>#REF!</f>
        <v>#REF!</v>
      </c>
      <c r="EY49" t="e">
        <f>#REF!</f>
        <v>#REF!</v>
      </c>
      <c r="EZ49" t="e">
        <f>#REF!</f>
        <v>#REF!</v>
      </c>
      <c r="FA49" t="e">
        <f>#REF!</f>
        <v>#REF!</v>
      </c>
      <c r="FB49" t="e">
        <f>#REF!</f>
        <v>#REF!</v>
      </c>
      <c r="FC49" t="e">
        <f>#REF!</f>
        <v>#REF!</v>
      </c>
      <c r="FD49" t="e">
        <f>#REF!</f>
        <v>#REF!</v>
      </c>
      <c r="FE49" t="e">
        <f>#REF!</f>
        <v>#REF!</v>
      </c>
      <c r="FF49" t="e">
        <f>#REF!</f>
        <v>#REF!</v>
      </c>
      <c r="FG49" t="e">
        <f>#REF!</f>
        <v>#REF!</v>
      </c>
      <c r="FH49" t="e">
        <f>#REF!</f>
        <v>#REF!</v>
      </c>
      <c r="FI49" t="e">
        <f>#REF!</f>
        <v>#REF!</v>
      </c>
      <c r="FJ49" t="e">
        <f>#REF!</f>
        <v>#REF!</v>
      </c>
      <c r="FK49" t="e">
        <f>#REF!</f>
        <v>#REF!</v>
      </c>
      <c r="FL49" t="e">
        <f>#REF!</f>
        <v>#REF!</v>
      </c>
      <c r="FM49" t="e">
        <f>#REF!</f>
        <v>#REF!</v>
      </c>
      <c r="FN49" t="e">
        <f>#REF!</f>
        <v>#REF!</v>
      </c>
    </row>
    <row r="50" spans="1:170" ht="15" x14ac:dyDescent="0.25">
      <c r="A50" s="619">
        <v>1</v>
      </c>
      <c r="B50" s="133" t="e">
        <f>RIGHT(#REF!,LEN(#REF!)-(FIND("Standards",#REF!,1)+9))</f>
        <v>#REF!</v>
      </c>
      <c r="C50" s="620" t="e">
        <f>#REF!</f>
        <v>#REF!</v>
      </c>
      <c r="D50" s="620">
        <v>72705</v>
      </c>
      <c r="E50" s="621" t="e">
        <f>#REF!</f>
        <v>#REF!</v>
      </c>
      <c r="F50" s="621" t="e">
        <f>#REF!</f>
        <v>#REF!</v>
      </c>
      <c r="G50" s="619" t="e">
        <f>#REF!</f>
        <v>#REF!</v>
      </c>
      <c r="H50" s="619" t="e">
        <f>#REF!</f>
        <v>#REF!</v>
      </c>
      <c r="I50" s="621" t="e">
        <f>#REF!</f>
        <v>#REF!</v>
      </c>
      <c r="J50" s="619" t="e">
        <f>#REF!</f>
        <v>#REF!</v>
      </c>
      <c r="K50" s="621" t="e">
        <f>#REF!</f>
        <v>#REF!</v>
      </c>
      <c r="L50" s="622" t="e">
        <f>#REF!</f>
        <v>#REF!</v>
      </c>
      <c r="M50" s="622" t="e">
        <f>#REF!</f>
        <v>#REF!</v>
      </c>
      <c r="N50" t="e">
        <f>#REF!</f>
        <v>#REF!</v>
      </c>
      <c r="O50" t="e">
        <f>#REF!</f>
        <v>#REF!</v>
      </c>
      <c r="P50" t="e">
        <f>#REF!</f>
        <v>#REF!</v>
      </c>
      <c r="Q50" s="136" t="e">
        <f>#REF!</f>
        <v>#REF!</v>
      </c>
      <c r="R50" s="136" t="e">
        <f>#REF!</f>
        <v>#REF!</v>
      </c>
      <c r="S50" s="136" t="e">
        <f>#REF!</f>
        <v>#REF!</v>
      </c>
      <c r="T50" s="136" t="e">
        <f>#REF!</f>
        <v>#REF!</v>
      </c>
      <c r="U50" s="136" t="e">
        <f>#REF!</f>
        <v>#REF!</v>
      </c>
      <c r="V50" s="136" t="e">
        <f>#REF!</f>
        <v>#REF!</v>
      </c>
      <c r="W50" s="136" t="e">
        <f>#REF!</f>
        <v>#REF!</v>
      </c>
      <c r="X50" s="136" t="e">
        <f>#REF!</f>
        <v>#REF!</v>
      </c>
      <c r="Y50" s="136" t="e">
        <f>#REF!</f>
        <v>#REF!</v>
      </c>
      <c r="Z50" s="136" t="e">
        <f>#REF!</f>
        <v>#REF!</v>
      </c>
      <c r="AA50" s="136" t="e">
        <f>#REF!</f>
        <v>#REF!</v>
      </c>
      <c r="AB50" s="136" t="e">
        <f>#REF!</f>
        <v>#REF!</v>
      </c>
      <c r="AC50" s="136" t="e">
        <f>#REF!</f>
        <v>#REF!</v>
      </c>
      <c r="AD50" s="136" t="e">
        <f>#REF!</f>
        <v>#REF!</v>
      </c>
      <c r="AE50" s="136" t="e">
        <f>#REF!</f>
        <v>#REF!</v>
      </c>
      <c r="AF50" s="136" t="e">
        <f>#REF!</f>
        <v>#REF!</v>
      </c>
      <c r="AG50" s="136" t="e">
        <f>#REF!</f>
        <v>#REF!</v>
      </c>
      <c r="AH50" s="136" t="e">
        <f>#REF!</f>
        <v>#REF!</v>
      </c>
      <c r="AI50" s="136" t="e">
        <f>#REF!</f>
        <v>#REF!</v>
      </c>
      <c r="AJ50" s="136" t="e">
        <f>#REF!</f>
        <v>#REF!</v>
      </c>
      <c r="AK50" s="136" t="e">
        <f>#REF!</f>
        <v>#REF!</v>
      </c>
      <c r="AL50" s="136"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s="137" t="e">
        <f>#REF!</f>
        <v>#REF!</v>
      </c>
      <c r="BO50" s="137" t="e">
        <f>#REF!</f>
        <v>#REF!</v>
      </c>
      <c r="BP50" s="137" t="e">
        <f>#REF!</f>
        <v>#REF!</v>
      </c>
      <c r="BQ50" s="137" t="e">
        <f>#REF!</f>
        <v>#REF!</v>
      </c>
      <c r="BR50" s="137" t="e">
        <f>#REF!</f>
        <v>#REF!</v>
      </c>
      <c r="BS50" s="137" t="e">
        <f>#REF!</f>
        <v>#REF!</v>
      </c>
      <c r="BT50" s="137" t="e">
        <f>#REF!</f>
        <v>#REF!</v>
      </c>
      <c r="BU50" s="137" t="e">
        <f>#REF!</f>
        <v>#REF!</v>
      </c>
      <c r="BV50" s="137" t="e">
        <f>#REF!</f>
        <v>#REF!</v>
      </c>
      <c r="BW50" s="137" t="e">
        <f>#REF!</f>
        <v>#REF!</v>
      </c>
      <c r="BX50" s="137" t="e">
        <f>#REF!</f>
        <v>#REF!</v>
      </c>
      <c r="BY50" s="137" t="e">
        <f>#REF!</f>
        <v>#REF!</v>
      </c>
      <c r="BZ50" s="137" t="e">
        <f>#REF!</f>
        <v>#REF!</v>
      </c>
      <c r="CA50" s="137" t="e">
        <f>#REF!</f>
        <v>#REF!</v>
      </c>
      <c r="CB50" t="e">
        <f>#REF!</f>
        <v>#REF!</v>
      </c>
      <c r="CC50" t="e">
        <f>#REF!</f>
        <v>#REF!</v>
      </c>
      <c r="CD50" t="e">
        <f>#REF!</f>
        <v>#REF!</v>
      </c>
      <c r="CE50" t="e">
        <f>#REF!</f>
        <v>#REF!</v>
      </c>
      <c r="CF50" t="e">
        <f>#REF!</f>
        <v>#REF!</v>
      </c>
      <c r="CG50" t="e">
        <f>#REF!</f>
        <v>#REF!</v>
      </c>
      <c r="CH50" t="e">
        <f>#REF!</f>
        <v>#REF!</v>
      </c>
      <c r="CI50" t="e">
        <f>#REF!</f>
        <v>#REF!</v>
      </c>
      <c r="CJ50" s="136" t="e">
        <f>#REF!</f>
        <v>#REF!</v>
      </c>
      <c r="CK50" s="136" t="e">
        <f>#REF!</f>
        <v>#REF!</v>
      </c>
      <c r="CL50">
        <v>0</v>
      </c>
      <c r="CM50">
        <v>0</v>
      </c>
      <c r="CN50">
        <v>0</v>
      </c>
      <c r="CO50">
        <v>0</v>
      </c>
      <c r="CP50" t="e">
        <f>#REF!</f>
        <v>#REF!</v>
      </c>
      <c r="CQ50" t="e">
        <f>#REF!</f>
        <v>#REF!</v>
      </c>
      <c r="CR50" t="e">
        <f>#REF!</f>
        <v>#REF!</v>
      </c>
      <c r="CS50" t="e">
        <f>#REF!</f>
        <v>#REF!</v>
      </c>
      <c r="CT50" t="e">
        <f>#REF!</f>
        <v>#REF!</v>
      </c>
      <c r="CU50" t="e">
        <f>#REF!</f>
        <v>#REF!</v>
      </c>
      <c r="CV50" t="e">
        <f>#REF!</f>
        <v>#REF!</v>
      </c>
      <c r="CW50" t="e">
        <f>#REF!</f>
        <v>#REF!</v>
      </c>
      <c r="CX50" t="e">
        <f>#REF!</f>
        <v>#REF!</v>
      </c>
      <c r="CY50" t="e">
        <f>#REF!</f>
        <v>#REF!</v>
      </c>
      <c r="CZ50" t="e">
        <f>#REF!</f>
        <v>#REF!</v>
      </c>
      <c r="DA50" t="e">
        <f>#REF!</f>
        <v>#REF!</v>
      </c>
      <c r="DB50" t="e">
        <f>#REF!</f>
        <v>#REF!</v>
      </c>
      <c r="DC50" t="e">
        <f>#REF!</f>
        <v>#REF!</v>
      </c>
      <c r="DD50" t="e">
        <f>#REF!</f>
        <v>#REF!</v>
      </c>
      <c r="DE50" t="e">
        <f>#REF!</f>
        <v>#REF!</v>
      </c>
      <c r="DF50" t="e">
        <f>#REF!</f>
        <v>#REF!</v>
      </c>
      <c r="DG50" t="e">
        <f>#REF!</f>
        <v>#REF!</v>
      </c>
      <c r="DH50" t="e">
        <f>#REF!</f>
        <v>#REF!</v>
      </c>
      <c r="DI50" t="e">
        <f>#REF!</f>
        <v>#REF!</v>
      </c>
      <c r="DJ50" t="e">
        <f>#REF!</f>
        <v>#REF!</v>
      </c>
      <c r="DK50" t="e">
        <f>#REF!</f>
        <v>#REF!</v>
      </c>
      <c r="DL50" t="e">
        <f>#REF!</f>
        <v>#REF!</v>
      </c>
      <c r="DM50" t="e">
        <f>#REF!</f>
        <v>#REF!</v>
      </c>
      <c r="DN50" t="e">
        <f>#REF!</f>
        <v>#REF!</v>
      </c>
      <c r="DO50" t="e">
        <f>#REF!</f>
        <v>#REF!</v>
      </c>
      <c r="DP50" t="e">
        <f>#REF!</f>
        <v>#REF!</v>
      </c>
      <c r="DQ50" t="e">
        <f>#REF!</f>
        <v>#REF!</v>
      </c>
      <c r="DR50" t="e">
        <f>#REF!</f>
        <v>#REF!</v>
      </c>
      <c r="DS50" t="e">
        <f>#REF!</f>
        <v>#REF!</v>
      </c>
      <c r="DT50" t="e">
        <f>#REF!</f>
        <v>#REF!</v>
      </c>
      <c r="DU50" t="e">
        <f>#REF!</f>
        <v>#REF!</v>
      </c>
      <c r="DV50" t="e">
        <f>#REF!</f>
        <v>#REF!</v>
      </c>
      <c r="DW50" t="e">
        <f>#REF!</f>
        <v>#REF!</v>
      </c>
      <c r="DX50" t="e">
        <f>#REF!</f>
        <v>#REF!</v>
      </c>
      <c r="DY50" t="e">
        <f>#REF!</f>
        <v>#REF!</v>
      </c>
      <c r="DZ50" t="e">
        <f>#REF!</f>
        <v>#REF!</v>
      </c>
      <c r="EA50" t="e">
        <f>#REF!</f>
        <v>#REF!</v>
      </c>
      <c r="EB50" t="e">
        <f>#REF!</f>
        <v>#REF!</v>
      </c>
      <c r="EC50" t="e">
        <f>#REF!</f>
        <v>#REF!</v>
      </c>
      <c r="ED50" t="e">
        <f>#REF!</f>
        <v>#REF!</v>
      </c>
      <c r="EE50" t="e">
        <f>#REF!</f>
        <v>#REF!</v>
      </c>
      <c r="EF50" t="e">
        <f>#REF!</f>
        <v>#REF!</v>
      </c>
      <c r="EG50" t="e">
        <f>#REF!</f>
        <v>#REF!</v>
      </c>
      <c r="EH50" t="e">
        <f>#REF!</f>
        <v>#REF!</v>
      </c>
      <c r="EI50" t="e">
        <f>#REF!</f>
        <v>#REF!</v>
      </c>
      <c r="EJ50" t="e">
        <f>#REF!</f>
        <v>#REF!</v>
      </c>
      <c r="EK50" t="e">
        <f>#REF!</f>
        <v>#REF!</v>
      </c>
      <c r="EL50" t="e">
        <f>#REF!</f>
        <v>#REF!</v>
      </c>
      <c r="EM50" t="e">
        <f>#REF!</f>
        <v>#REF!</v>
      </c>
      <c r="EN50" t="e">
        <f>#REF!</f>
        <v>#REF!</v>
      </c>
      <c r="EO50" t="e">
        <f>#REF!</f>
        <v>#REF!</v>
      </c>
      <c r="EP50" t="e">
        <f>#REF!</f>
        <v>#REF!</v>
      </c>
      <c r="EQ50" t="e">
        <f>#REF!</f>
        <v>#REF!</v>
      </c>
      <c r="ER50" t="e">
        <f>#REF!</f>
        <v>#REF!</v>
      </c>
      <c r="ES50" t="e">
        <f>#REF!</f>
        <v>#REF!</v>
      </c>
      <c r="ET50" t="e">
        <f>#REF!</f>
        <v>#REF!</v>
      </c>
      <c r="EU50" t="e">
        <f>#REF!</f>
        <v>#REF!</v>
      </c>
      <c r="EV50" t="e">
        <f>#REF!</f>
        <v>#REF!</v>
      </c>
      <c r="EW50" t="e">
        <f>#REF!</f>
        <v>#REF!</v>
      </c>
      <c r="EX50" t="e">
        <f>#REF!</f>
        <v>#REF!</v>
      </c>
      <c r="EY50" t="e">
        <f>#REF!</f>
        <v>#REF!</v>
      </c>
      <c r="EZ50" t="e">
        <f>#REF!</f>
        <v>#REF!</v>
      </c>
      <c r="FA50" t="e">
        <f>#REF!</f>
        <v>#REF!</v>
      </c>
      <c r="FB50" t="e">
        <f>#REF!</f>
        <v>#REF!</v>
      </c>
      <c r="FC50" t="e">
        <f>#REF!</f>
        <v>#REF!</v>
      </c>
      <c r="FD50" t="e">
        <f>#REF!</f>
        <v>#REF!</v>
      </c>
      <c r="FE50" t="e">
        <f>#REF!</f>
        <v>#REF!</v>
      </c>
      <c r="FF50" t="e">
        <f>#REF!</f>
        <v>#REF!</v>
      </c>
      <c r="FG50" t="e">
        <f>#REF!</f>
        <v>#REF!</v>
      </c>
      <c r="FH50" t="e">
        <f>#REF!</f>
        <v>#REF!</v>
      </c>
      <c r="FI50" t="e">
        <f>#REF!</f>
        <v>#REF!</v>
      </c>
      <c r="FJ50" t="e">
        <f>#REF!</f>
        <v>#REF!</v>
      </c>
      <c r="FK50" t="e">
        <f>#REF!</f>
        <v>#REF!</v>
      </c>
      <c r="FL50" t="e">
        <f>#REF!</f>
        <v>#REF!</v>
      </c>
      <c r="FM50" t="e">
        <f>#REF!</f>
        <v>#REF!</v>
      </c>
      <c r="FN50" t="e">
        <f>#REF!</f>
        <v>#REF!</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D48694-6E6A-4842-8337-5C45AD50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B58BC-F2C6-47B3-8842-36F670972951}">
  <ds:schemaRefs>
    <ds:schemaRef ds:uri="http://schemas.microsoft.com/sharepoint/v3/contenttype/forms"/>
  </ds:schemaRefs>
</ds:datastoreItem>
</file>

<file path=customXml/itemProps3.xml><?xml version="1.0" encoding="utf-8"?>
<ds:datastoreItem xmlns:ds="http://schemas.openxmlformats.org/officeDocument/2006/customXml" ds:itemID="{2A274518-0E7C-4C4A-AE56-12DB26F147C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Inventory</vt:lpstr>
      <vt:lpstr>Log</vt:lpstr>
      <vt:lpstr>VAQ (5 EA-18G CVW)</vt:lpstr>
      <vt:lpstr>VAQ (7 EA-18G CVW)</vt:lpstr>
      <vt:lpstr>VAQ (7 EA-18G) FDNF</vt:lpstr>
      <vt:lpstr>VAQ (5 EA-18G) EXPED</vt:lpstr>
      <vt:lpstr>VAQ (6 EA-18G) EXPED</vt:lpstr>
      <vt:lpstr>VAQ (5 EA-18G) Reserve EXPED</vt:lpstr>
      <vt:lpstr>VAQ (5 EA-18G) Reserve CVW</vt:lpstr>
      <vt:lpstr>VAQ (EA-18G FRS)</vt:lpstr>
      <vt:lpstr>VAQ EA-18G PDAA</vt:lpstr>
      <vt:lpstr>VAQ EA-18G Reduced MET CVW FDNF</vt:lpstr>
      <vt:lpstr>VAQ EA-18G Reduced MET EXPED</vt:lpstr>
      <vt:lpstr>VAQ EA-18G Reduced MET Reserve</vt:lpstr>
      <vt:lpstr>EA-18G Mission System Summary</vt:lpstr>
      <vt:lpstr>EA-18G Mission Systems</vt:lpstr>
      <vt:lpstr>Definitions</vt:lpstr>
      <vt:lpstr>Master</vt:lpstr>
      <vt:lpstr>Template for export</vt:lpstr>
    </vt:vector>
  </TitlesOfParts>
  <Manager>RS&amp;P AO</Manager>
  <Company>US Navy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dc:title>
  <dc:subject>Current Readiness Standards</dc:subject>
  <dc:creator>Fleetwood, Michael T CTR  COMNAVAIRLANT, NC007</dc:creator>
  <cp:keywords/>
  <dc:description/>
  <cp:lastModifiedBy>Mark Bodoh</cp:lastModifiedBy>
  <cp:revision/>
  <dcterms:created xsi:type="dcterms:W3CDTF">2006-04-03T18:56:35Z</dcterms:created>
  <dcterms:modified xsi:type="dcterms:W3CDTF">2023-04-05T23:45:51Z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8a2fb694-f980-46d6-9c0c-b08a9f7b6673</vt:lpwstr>
  </property>
  <property fmtid="{D5CDD505-2E9C-101B-9397-08002B2CF9AE}" pid="4" name="Order">
    <vt:r8>28200</vt:r8>
  </property>
  <property fmtid="{D5CDD505-2E9C-101B-9397-08002B2CF9AE}" pid="5" name="MSIP_Label_afe64f26-154f-4743-927e-a7310aa86873_Enabled">
    <vt:lpwstr>true</vt:lpwstr>
  </property>
  <property fmtid="{D5CDD505-2E9C-101B-9397-08002B2CF9AE}" pid="6" name="MSIP_Label_afe64f26-154f-4743-927e-a7310aa86873_SetDate">
    <vt:lpwstr>2023-04-05T23:45:33Z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bbdb0157-379e-4175-b736-872d05aa819b</vt:lpwstr>
  </property>
  <property fmtid="{D5CDD505-2E9C-101B-9397-08002B2CF9AE}" pid="11" name="MSIP_Label_afe64f26-154f-4743-927e-a7310aa86873_ContentBits">
    <vt:lpwstr>0</vt:lpwstr>
  </property>
</Properties>
</file>